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tridyu/Documents/GitHub/MarkovDA/exercise_Fall2024/"/>
    </mc:Choice>
  </mc:AlternateContent>
  <xr:revisionPtr revIDLastSave="0" documentId="13_ncr:1_{9267BC4E-E8A8-7B47-8A08-13413A6BCEA5}" xr6:coauthVersionLast="47" xr6:coauthVersionMax="47" xr10:uidLastSave="{00000000-0000-0000-0000-000000000000}"/>
  <bookViews>
    <workbookView xWindow="120" yWindow="500" windowWidth="33600" windowHeight="18660" activeTab="1" xr2:uid="{00000000-000D-0000-FFFF-FFFF00000000}"/>
  </bookViews>
  <sheets>
    <sheet name="Parameters" sheetId="1" r:id="rId1"/>
    <sheet name="Life Table - Female" sheetId="19" r:id="rId2"/>
    <sheet name="Strategy 1 - phd" sheetId="18" r:id="rId3"/>
    <sheet name="Strategy 1 - Status quo" sheetId="3" state="hidden" r:id="rId4"/>
    <sheet name="Strategy 2 - phd" sheetId="20" r:id="rId5"/>
    <sheet name="Strategy 2 - Treatment A" sheetId="6" state="hidden" r:id="rId6"/>
    <sheet name="Strategy 3 - phd" sheetId="21" r:id="rId7"/>
    <sheet name="Strategy 3 - Treatment B" sheetId="8" state="hidden" r:id="rId8"/>
    <sheet name="Strategy 4 - phd" sheetId="22" r:id="rId9"/>
    <sheet name="Strategy 4 - Treatment C" sheetId="9" state="hidden" r:id="rId10"/>
    <sheet name="CEA results" sheetId="4" r:id="rId11"/>
    <sheet name="One-way DSA" sheetId="10" state="hidden" r:id="rId12"/>
    <sheet name="John's Template &gt;&gt;&gt;" sheetId="11" state="hidden" r:id="rId13"/>
    <sheet name="Transition Matrix" sheetId="12" state="hidden" r:id="rId14"/>
    <sheet name="S1 - Status quo" sheetId="13" state="hidden" r:id="rId15"/>
    <sheet name="S2 - trt A" sheetId="15" state="hidden" r:id="rId16"/>
    <sheet name="S3 - trt B" sheetId="16" state="hidden" r:id="rId17"/>
    <sheet name="S4 - trt C" sheetId="17" state="hidden" r:id="rId18"/>
  </sheets>
  <definedNames>
    <definedName name="_xlnm._FilterDatabase" localSheetId="0" hidden="1">Parameters!$B$1:$G$62</definedName>
    <definedName name="cost_quo" localSheetId="15">'S2 - trt A'!$O$4:$O$34</definedName>
    <definedName name="cost_quo" localSheetId="16">'S3 - trt B'!$O$4:$O$34</definedName>
    <definedName name="cost_quo" localSheetId="17">'S4 - trt C'!$O$4:$O$34</definedName>
    <definedName name="cost_quo">'S1 - Status quo'!$O$4:$O$34</definedName>
    <definedName name="cost_trtA" localSheetId="16">'S3 - trt B'!$O$4:$O$34</definedName>
    <definedName name="cost_trtA" localSheetId="17">'S4 - trt C'!$O$4:$O$34</definedName>
    <definedName name="cost_trtA">'S2 - trt A'!$O$4:$O$34</definedName>
    <definedName name="cost_trtB">'S3 - trt B'!$O$4:$O$34</definedName>
    <definedName name="cost_trtC">'S4 - trt C'!$O$4:$O$34</definedName>
    <definedName name="costs_quo" localSheetId="15">'S2 - trt A'!$D$4:$D$9</definedName>
    <definedName name="costs_quo" localSheetId="16">'S3 - trt B'!$D$4:$D$9</definedName>
    <definedName name="costs_quo" localSheetId="17">'S4 - trt C'!$D$4:$D$9</definedName>
    <definedName name="costs_quo">'S1 - Status quo'!$D$4:$D$9</definedName>
    <definedName name="costs_trtA" localSheetId="16">'S3 - trt B'!$D$4:$D$9</definedName>
    <definedName name="costs_trtA" localSheetId="17">'S4 - trt C'!$D$4:$D$9</definedName>
    <definedName name="costs_trtA">'S2 - trt A'!$D$4:$D$9</definedName>
    <definedName name="costs_trtB" localSheetId="17">'S4 - trt C'!$D$4:$D$9</definedName>
    <definedName name="costs_trtB">'S3 - trt B'!$D$4:$D$9</definedName>
    <definedName name="costs_trtC">'S4 - trt C'!$D$4:$D$9</definedName>
    <definedName name="cTreatmentRemission">Parameters!$F$51</definedName>
    <definedName name="cTreatmentStage1">Parameters!$F$48</definedName>
    <definedName name="cTreatmentStage2">Parameters!$F$49</definedName>
    <definedName name="cTreatmentStage3">Parameters!$F$50</definedName>
    <definedName name="cTrtA">Parameters!$F$52</definedName>
    <definedName name="cTrtB">Parameters!$F$53</definedName>
    <definedName name="cTrtC">Parameters!$F$54</definedName>
    <definedName name="cVisit">Parameters!$F$47</definedName>
    <definedName name="discount_rate">Parameters!$F$6</definedName>
    <definedName name="hrRemissionStage1_trtA">Parameters!$F$37</definedName>
    <definedName name="hrRemissionStage1_trtB">Parameters!$F$39</definedName>
    <definedName name="hrRemissionStage1_trtC">Parameters!$F$41</definedName>
    <definedName name="hrRemissionStage2_trtA">Parameters!$F$38</definedName>
    <definedName name="hrRemissionStage2_trtB">Parameters!$F$40</definedName>
    <definedName name="hrRemissionStage2_trtC">Parameters!$F$42</definedName>
    <definedName name="m_P_quo">'Transition Matrix'!$L$5:$Q$10</definedName>
    <definedName name="m_P_trtA">'Transition Matrix'!$L$12:$Q$17</definedName>
    <definedName name="m_P_trtB">'Transition Matrix'!$L$19:$Q$24</definedName>
    <definedName name="m_P_trtC">'Transition Matrix'!$L$26:$Q$31</definedName>
    <definedName name="nPop">Parameters!$F$2</definedName>
    <definedName name="nVisitsRemission">Parameters!$F$46</definedName>
    <definedName name="nVisitsStage1">Parameters!$F$43</definedName>
    <definedName name="nVisitsStage2">Parameters!$F$44</definedName>
    <definedName name="nVisitsStage3">Parameters!$F$45</definedName>
    <definedName name="pHealthyStage1">Parameters!$F$7</definedName>
    <definedName name="pHealthyStage2">Parameters!$F$8</definedName>
    <definedName name="pHealthyStage3">Parameters!$F$9</definedName>
    <definedName name="pRemissionStage1">Parameters!$F$17</definedName>
    <definedName name="pRemissionStage1_trtA">Parameters!$F$19</definedName>
    <definedName name="pRemissionStage1_trtB">Parameters!$F$21</definedName>
    <definedName name="pRemissionStage1_trtC">Parameters!$F$23</definedName>
    <definedName name="pRemissionStage2">Parameters!$F$18</definedName>
    <definedName name="pRemissionStage2_trtA">Parameters!$F$20</definedName>
    <definedName name="pRemissionStage2_trtB">Parameters!$F$22</definedName>
    <definedName name="pRemissionStage2_trtC">Parameters!$F$24</definedName>
    <definedName name="pStage1Remission">Parameters!$F$11</definedName>
    <definedName name="pStage1Stage2">Parameters!$F$10</definedName>
    <definedName name="pStage2Remission">Parameters!$F$14</definedName>
    <definedName name="pStage2Stage1">Parameters!$F$12</definedName>
    <definedName name="pStage2Stage3">Parameters!$F$13</definedName>
    <definedName name="pStage3Death">Parameters!$F$16</definedName>
    <definedName name="pStage3Stage2">Parameters!$F$15</definedName>
    <definedName name="qaly_quo" localSheetId="15">'S2 - trt A'!$Q$4:$Q$34</definedName>
    <definedName name="qaly_quo" localSheetId="16">'S3 - trt B'!$Q$4:$Q$34</definedName>
    <definedName name="qaly_quo" localSheetId="17">'S4 - trt C'!$Q$4:$Q$34</definedName>
    <definedName name="qaly_quo">'S1 - Status quo'!$Q$4:$Q$34</definedName>
    <definedName name="qaly_trtA" localSheetId="16">'S3 - trt B'!$Q$4:$Q$34</definedName>
    <definedName name="qaly_trtA" localSheetId="17">'S4 - trt C'!$Q$4:$Q$34</definedName>
    <definedName name="qaly_trtA">'S2 - trt A'!$Q$4:$Q$34</definedName>
    <definedName name="qaly_trtB">'S3 - trt B'!$Q$4:$Q$34</definedName>
    <definedName name="qaly_trtC">'S4 - trt C'!$Q$4:$Q$34</definedName>
    <definedName name="qalys_quo" localSheetId="15">'S2 - trt A'!$E$4:$E$9</definedName>
    <definedName name="qalys_quo" localSheetId="16">'S3 - trt B'!$E$4:$E$9</definedName>
    <definedName name="qalys_quo" localSheetId="17">'S4 - trt C'!$E$4:$E$9</definedName>
    <definedName name="qalys_quo">'S1 - Status quo'!$E$4:$E$9</definedName>
    <definedName name="qalys_trtA" localSheetId="16">'S3 - trt B'!$E$4:$E$9</definedName>
    <definedName name="qalys_trtA" localSheetId="17">'S4 - trt C'!$E$4:$E$9</definedName>
    <definedName name="qalys_trtA">'S2 - trt A'!$E$4:$E$9</definedName>
    <definedName name="qalys_trtB" localSheetId="17">'S4 - trt C'!$E$4:$E$9</definedName>
    <definedName name="qalys_trtB">'S3 - trt B'!$E$4:$E$9</definedName>
    <definedName name="qalys_trtC">'S4 - trt C'!$E$4:$E$9</definedName>
    <definedName name="rHealthyStage1">Parameters!$F$25</definedName>
    <definedName name="rHealthyStage2">Parameters!$F$26</definedName>
    <definedName name="rHealthyStage3">Parameters!$F$27</definedName>
    <definedName name="rRemissionStage1">Parameters!$F$35</definedName>
    <definedName name="rRemissionStage2">Parameters!$F$36</definedName>
    <definedName name="rStage1Remission">Parameters!$F$29</definedName>
    <definedName name="rStage1Stage2">Parameters!$F$28</definedName>
    <definedName name="rStage2Remission">Parameters!$F$32</definedName>
    <definedName name="rStage2Stage1">Parameters!$F$30</definedName>
    <definedName name="rStage2Stage3">Parameters!$F$31</definedName>
    <definedName name="rStage3Death">Parameters!$F$34</definedName>
    <definedName name="rStage3Stage2">Parameters!$F$33</definedName>
    <definedName name="uHealthy">Parameters!$F$55</definedName>
    <definedName name="uRemission">Parameters!$F$59</definedName>
    <definedName name="uStage1">Parameters!$F$56</definedName>
    <definedName name="uStage2">Parameters!$F$57</definedName>
    <definedName name="uStage3">Parameters!$F$58</definedName>
    <definedName name="w_c_quo" localSheetId="15">'S2 - trt A'!$X$4:$X$34</definedName>
    <definedName name="w_c_quo" localSheetId="16">'S3 - trt B'!$X$4:$X$34</definedName>
    <definedName name="w_c_quo" localSheetId="17">'S4 - trt C'!$X$4:$X$34</definedName>
    <definedName name="w_c_quo">'S1 - Status quo'!$X$4:$X$34</definedName>
    <definedName name="w_c_trtA" localSheetId="16">'S3 - trt B'!$X$4:$X$34</definedName>
    <definedName name="w_c_trtA" localSheetId="17">'S4 - trt C'!$X$4:$X$34</definedName>
    <definedName name="w_c_trtA">'S2 - trt A'!$X$4:$X$34</definedName>
    <definedName name="w_c_trtB">'S3 - trt B'!$X$4:$X$34</definedName>
    <definedName name="w_c_trtC">'S4 - trt C'!$X$4:$X$34</definedName>
    <definedName name="w_e_quo" localSheetId="15">'S2 - trt A'!$Y$4:$Y$34</definedName>
    <definedName name="w_e_quo" localSheetId="16">'S3 - trt B'!$Y$4:$Y$34</definedName>
    <definedName name="w_e_quo" localSheetId="17">'S4 - trt C'!$Y$4:$Y$34</definedName>
    <definedName name="w_e_quo">'S1 - Status quo'!$Y$4:$Y$34</definedName>
    <definedName name="w_e_trtA" localSheetId="16">'S3 - trt B'!$Y$4:$Y$34</definedName>
    <definedName name="w_e_trtA" localSheetId="17">'S4 - trt C'!$Y$4:$Y$34</definedName>
    <definedName name="w_e_trtA">'S2 - trt A'!$Y$4:$Y$34</definedName>
    <definedName name="w_e_trtB">'S3 - trt B'!$Y$4:$Y$34</definedName>
    <definedName name="w_e_trtC">'S4 - trt C'!$Y$4:$Y$34</definedName>
    <definedName name="wtp">Parameters!$F$5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4" i="18" l="1"/>
  <c r="U4" i="22"/>
  <c r="R4" i="22"/>
  <c r="O4" i="22"/>
  <c r="L4" i="22"/>
  <c r="I4" i="22"/>
  <c r="F4" i="22"/>
  <c r="O5" i="22" s="1"/>
  <c r="C4" i="22"/>
  <c r="U4" i="21"/>
  <c r="R4" i="21"/>
  <c r="O4" i="21"/>
  <c r="L4" i="21"/>
  <c r="I4" i="21"/>
  <c r="F4" i="21"/>
  <c r="C4" i="21"/>
  <c r="C5" i="21" s="1"/>
  <c r="C6" i="21" s="1"/>
  <c r="C7" i="21" s="1"/>
  <c r="C8" i="21" s="1"/>
  <c r="C9" i="21" s="1"/>
  <c r="C10" i="21" s="1"/>
  <c r="C11" i="21" s="1"/>
  <c r="C12" i="21" s="1"/>
  <c r="C13" i="21" s="1"/>
  <c r="C14" i="21" s="1"/>
  <c r="C15" i="21" s="1"/>
  <c r="C16" i="21" s="1"/>
  <c r="C17" i="21" s="1"/>
  <c r="C18" i="21" s="1"/>
  <c r="C19" i="21" s="1"/>
  <c r="C20" i="21" s="1"/>
  <c r="C21" i="21" s="1"/>
  <c r="C22" i="21" s="1"/>
  <c r="C23" i="21" s="1"/>
  <c r="C24" i="21" s="1"/>
  <c r="C25" i="21" s="1"/>
  <c r="C26" i="21" s="1"/>
  <c r="C27" i="21" s="1"/>
  <c r="C28" i="21" s="1"/>
  <c r="C29" i="21" s="1"/>
  <c r="C30" i="21" s="1"/>
  <c r="C31" i="21" s="1"/>
  <c r="C32" i="21" s="1"/>
  <c r="C33" i="21" s="1"/>
  <c r="U4" i="20"/>
  <c r="R4" i="20"/>
  <c r="O4" i="20"/>
  <c r="L4" i="20"/>
  <c r="I4" i="20"/>
  <c r="F4" i="20"/>
  <c r="C4" i="20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C15" i="20" s="1"/>
  <c r="C16" i="20" s="1"/>
  <c r="C17" i="20" s="1"/>
  <c r="C18" i="20" s="1"/>
  <c r="C19" i="20" s="1"/>
  <c r="C20" i="20" s="1"/>
  <c r="C21" i="20" s="1"/>
  <c r="C22" i="20" s="1"/>
  <c r="C23" i="20" s="1"/>
  <c r="C24" i="20" s="1"/>
  <c r="C25" i="20" s="1"/>
  <c r="C26" i="20" s="1"/>
  <c r="C27" i="20" s="1"/>
  <c r="C28" i="20" s="1"/>
  <c r="C29" i="20" s="1"/>
  <c r="C30" i="20" s="1"/>
  <c r="C31" i="20" s="1"/>
  <c r="C32" i="20" s="1"/>
  <c r="C33" i="20" s="1"/>
  <c r="R4" i="18"/>
  <c r="O4" i="18"/>
  <c r="L4" i="18"/>
  <c r="I4" i="18"/>
  <c r="F4" i="18"/>
  <c r="C4" i="18"/>
  <c r="C5" i="18" s="1"/>
  <c r="C6" i="18" s="1"/>
  <c r="C7" i="18" s="1"/>
  <c r="C8" i="18" s="1"/>
  <c r="C9" i="18" s="1"/>
  <c r="C10" i="18" s="1"/>
  <c r="C11" i="18" s="1"/>
  <c r="C12" i="18" s="1"/>
  <c r="C13" i="18" s="1"/>
  <c r="C14" i="18" s="1"/>
  <c r="C15" i="18" s="1"/>
  <c r="C16" i="18" s="1"/>
  <c r="C17" i="18" s="1"/>
  <c r="C18" i="18" s="1"/>
  <c r="C19" i="18" s="1"/>
  <c r="C20" i="18" s="1"/>
  <c r="C21" i="18" s="1"/>
  <c r="C22" i="18" s="1"/>
  <c r="C23" i="18" s="1"/>
  <c r="C24" i="18" s="1"/>
  <c r="C25" i="18" s="1"/>
  <c r="C26" i="18" s="1"/>
  <c r="C27" i="18" s="1"/>
  <c r="C28" i="18" s="1"/>
  <c r="C29" i="18" s="1"/>
  <c r="C30" i="18" s="1"/>
  <c r="C31" i="18" s="1"/>
  <c r="C32" i="18" s="1"/>
  <c r="C33" i="18" s="1"/>
  <c r="G4" i="19"/>
  <c r="G5" i="19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77" i="19"/>
  <c r="G78" i="19"/>
  <c r="G79" i="19"/>
  <c r="G80" i="19"/>
  <c r="G81" i="19"/>
  <c r="G82" i="19"/>
  <c r="G83" i="19"/>
  <c r="G84" i="19"/>
  <c r="G85" i="19"/>
  <c r="G86" i="19"/>
  <c r="G87" i="19"/>
  <c r="G88" i="19"/>
  <c r="G89" i="19"/>
  <c r="G90" i="19"/>
  <c r="G91" i="19"/>
  <c r="G92" i="19"/>
  <c r="G93" i="19"/>
  <c r="G94" i="19"/>
  <c r="G95" i="19"/>
  <c r="G96" i="19"/>
  <c r="G97" i="19"/>
  <c r="G98" i="19"/>
  <c r="G99" i="19"/>
  <c r="G100" i="19"/>
  <c r="G101" i="19"/>
  <c r="G102" i="19"/>
  <c r="G103" i="19"/>
  <c r="G3" i="19"/>
  <c r="F5" i="22" l="1"/>
  <c r="O5" i="18"/>
  <c r="O5" i="20"/>
  <c r="I5" i="22"/>
  <c r="O6" i="22" s="1"/>
  <c r="O5" i="21"/>
  <c r="F5" i="18"/>
  <c r="L5" i="21"/>
  <c r="C5" i="22"/>
  <c r="C6" i="22" s="1"/>
  <c r="C7" i="22" s="1"/>
  <c r="C8" i="22" s="1"/>
  <c r="C9" i="22" s="1"/>
  <c r="C10" i="22" s="1"/>
  <c r="C11" i="22" s="1"/>
  <c r="C12" i="22" s="1"/>
  <c r="C13" i="22" s="1"/>
  <c r="C14" i="22" s="1"/>
  <c r="C15" i="22" s="1"/>
  <c r="C16" i="22" s="1"/>
  <c r="C17" i="22" s="1"/>
  <c r="C18" i="22" s="1"/>
  <c r="C19" i="22" s="1"/>
  <c r="C20" i="22" s="1"/>
  <c r="C21" i="22" s="1"/>
  <c r="C22" i="22" s="1"/>
  <c r="C23" i="22" s="1"/>
  <c r="C24" i="22" s="1"/>
  <c r="C25" i="22" s="1"/>
  <c r="C26" i="22" s="1"/>
  <c r="C27" i="22" s="1"/>
  <c r="C28" i="22" s="1"/>
  <c r="C29" i="22" s="1"/>
  <c r="C30" i="22" s="1"/>
  <c r="C31" i="22" s="1"/>
  <c r="C32" i="22" s="1"/>
  <c r="C33" i="22" s="1"/>
  <c r="L5" i="18"/>
  <c r="L5" i="20"/>
  <c r="R5" i="22"/>
  <c r="L5" i="22"/>
  <c r="R5" i="21"/>
  <c r="F5" i="21"/>
  <c r="R5" i="20"/>
  <c r="F5" i="20"/>
  <c r="R5" i="18"/>
  <c r="L6" i="22" l="1"/>
  <c r="R6" i="21"/>
  <c r="R6" i="20"/>
  <c r="F6" i="22"/>
  <c r="R6" i="18"/>
  <c r="R6" i="22"/>
  <c r="R7" i="22" s="1"/>
  <c r="G4" i="22"/>
  <c r="Q4" i="22"/>
  <c r="X3" i="22"/>
  <c r="B3" i="22"/>
  <c r="U3" i="21"/>
  <c r="P4" i="21"/>
  <c r="X3" i="21"/>
  <c r="B3" i="21"/>
  <c r="Q4" i="20"/>
  <c r="X3" i="20"/>
  <c r="B3" i="20"/>
  <c r="C3" i="20" s="1"/>
  <c r="Q4" i="18"/>
  <c r="X3" i="18"/>
  <c r="B3" i="18"/>
  <c r="C3" i="18" s="1"/>
  <c r="L15" i="1"/>
  <c r="K15" i="1"/>
  <c r="O5" i="10"/>
  <c r="O4" i="10"/>
  <c r="J5" i="10"/>
  <c r="J4" i="10"/>
  <c r="N5" i="10"/>
  <c r="N4" i="10"/>
  <c r="I5" i="10"/>
  <c r="I4" i="10"/>
  <c r="E7" i="10"/>
  <c r="D7" i="10"/>
  <c r="E3" i="10"/>
  <c r="D3" i="10"/>
  <c r="L19" i="1"/>
  <c r="K19" i="1"/>
  <c r="B4" i="22" l="1"/>
  <c r="U5" i="22" s="1"/>
  <c r="V4" i="22"/>
  <c r="T4" i="21"/>
  <c r="S4" i="20"/>
  <c r="T4" i="18"/>
  <c r="G5" i="22"/>
  <c r="I6" i="22"/>
  <c r="P4" i="22"/>
  <c r="S4" i="22"/>
  <c r="T4" i="22"/>
  <c r="C3" i="22"/>
  <c r="I5" i="20"/>
  <c r="Q4" i="21"/>
  <c r="C3" i="21"/>
  <c r="S4" i="21"/>
  <c r="I5" i="18"/>
  <c r="P4" i="20"/>
  <c r="V3" i="20"/>
  <c r="E3" i="20"/>
  <c r="Y3" i="20" s="1"/>
  <c r="T4" i="20"/>
  <c r="P4" i="18"/>
  <c r="E3" i="18"/>
  <c r="Y3" i="18" s="1"/>
  <c r="V3" i="18"/>
  <c r="S4" i="18"/>
  <c r="D8" i="17"/>
  <c r="T34" i="17"/>
  <c r="Y34" i="17" s="1"/>
  <c r="S34" i="17"/>
  <c r="X34" i="17" s="1"/>
  <c r="T33" i="17"/>
  <c r="Y33" i="17" s="1"/>
  <c r="S33" i="17"/>
  <c r="X33" i="17" s="1"/>
  <c r="T32" i="17"/>
  <c r="Y32" i="17" s="1"/>
  <c r="S32" i="17"/>
  <c r="X32" i="17" s="1"/>
  <c r="T31" i="17"/>
  <c r="Y31" i="17" s="1"/>
  <c r="S31" i="17"/>
  <c r="X31" i="17" s="1"/>
  <c r="T30" i="17"/>
  <c r="Y30" i="17" s="1"/>
  <c r="S30" i="17"/>
  <c r="X30" i="17" s="1"/>
  <c r="T29" i="17"/>
  <c r="Y29" i="17" s="1"/>
  <c r="S29" i="17"/>
  <c r="X29" i="17" s="1"/>
  <c r="T28" i="17"/>
  <c r="Y28" i="17" s="1"/>
  <c r="S28" i="17"/>
  <c r="X28" i="17" s="1"/>
  <c r="T27" i="17"/>
  <c r="Y27" i="17" s="1"/>
  <c r="S27" i="17"/>
  <c r="X27" i="17" s="1"/>
  <c r="T26" i="17"/>
  <c r="Y26" i="17" s="1"/>
  <c r="S26" i="17"/>
  <c r="X26" i="17" s="1"/>
  <c r="T25" i="17"/>
  <c r="Y25" i="17" s="1"/>
  <c r="S25" i="17"/>
  <c r="X25" i="17" s="1"/>
  <c r="T24" i="17"/>
  <c r="Y24" i="17" s="1"/>
  <c r="S24" i="17"/>
  <c r="X24" i="17" s="1"/>
  <c r="T23" i="17"/>
  <c r="Y23" i="17" s="1"/>
  <c r="S23" i="17"/>
  <c r="X23" i="17" s="1"/>
  <c r="T22" i="17"/>
  <c r="Y22" i="17" s="1"/>
  <c r="S22" i="17"/>
  <c r="X22" i="17" s="1"/>
  <c r="T21" i="17"/>
  <c r="Y21" i="17" s="1"/>
  <c r="S21" i="17"/>
  <c r="X21" i="17" s="1"/>
  <c r="T20" i="17"/>
  <c r="Y20" i="17" s="1"/>
  <c r="S20" i="17"/>
  <c r="X20" i="17" s="1"/>
  <c r="T19" i="17"/>
  <c r="Y19" i="17" s="1"/>
  <c r="S19" i="17"/>
  <c r="X19" i="17" s="1"/>
  <c r="T18" i="17"/>
  <c r="Y18" i="17" s="1"/>
  <c r="S18" i="17"/>
  <c r="X18" i="17" s="1"/>
  <c r="T17" i="17"/>
  <c r="Y17" i="17" s="1"/>
  <c r="S17" i="17"/>
  <c r="X17" i="17" s="1"/>
  <c r="T16" i="17"/>
  <c r="Y16" i="17" s="1"/>
  <c r="S16" i="17"/>
  <c r="X16" i="17" s="1"/>
  <c r="T15" i="17"/>
  <c r="Y15" i="17" s="1"/>
  <c r="S15" i="17"/>
  <c r="X15" i="17" s="1"/>
  <c r="T14" i="17"/>
  <c r="Y14" i="17" s="1"/>
  <c r="S14" i="17"/>
  <c r="X14" i="17" s="1"/>
  <c r="T13" i="17"/>
  <c r="Y13" i="17" s="1"/>
  <c r="S13" i="17"/>
  <c r="X13" i="17" s="1"/>
  <c r="T12" i="17"/>
  <c r="Y12" i="17" s="1"/>
  <c r="S12" i="17"/>
  <c r="X12" i="17" s="1"/>
  <c r="T11" i="17"/>
  <c r="Y11" i="17" s="1"/>
  <c r="S11" i="17"/>
  <c r="X11" i="17" s="1"/>
  <c r="T10" i="17"/>
  <c r="Y10" i="17" s="1"/>
  <c r="S10" i="17"/>
  <c r="X10" i="17" s="1"/>
  <c r="T9" i="17"/>
  <c r="Y9" i="17" s="1"/>
  <c r="S9" i="17"/>
  <c r="X9" i="17" s="1"/>
  <c r="E9" i="17"/>
  <c r="D9" i="17"/>
  <c r="T8" i="17"/>
  <c r="Y8" i="17" s="1"/>
  <c r="S8" i="17"/>
  <c r="X8" i="17" s="1"/>
  <c r="E8" i="17"/>
  <c r="T7" i="17"/>
  <c r="Y7" i="17" s="1"/>
  <c r="S7" i="17"/>
  <c r="X7" i="17" s="1"/>
  <c r="E7" i="17"/>
  <c r="D7" i="17"/>
  <c r="T6" i="17"/>
  <c r="Y6" i="17" s="1"/>
  <c r="S6" i="17"/>
  <c r="X6" i="17" s="1"/>
  <c r="E6" i="17"/>
  <c r="D6" i="17"/>
  <c r="T5" i="17"/>
  <c r="Y5" i="17" s="1"/>
  <c r="S5" i="17"/>
  <c r="X5" i="17" s="1"/>
  <c r="E5" i="17"/>
  <c r="D5" i="17"/>
  <c r="T4" i="17"/>
  <c r="Y4" i="17" s="1"/>
  <c r="S4" i="17"/>
  <c r="X4" i="17" s="1"/>
  <c r="E4" i="17"/>
  <c r="D8" i="16"/>
  <c r="T34" i="16"/>
  <c r="Y34" i="16" s="1"/>
  <c r="S34" i="16"/>
  <c r="X34" i="16" s="1"/>
  <c r="T33" i="16"/>
  <c r="Y33" i="16" s="1"/>
  <c r="S33" i="16"/>
  <c r="X33" i="16" s="1"/>
  <c r="T32" i="16"/>
  <c r="Y32" i="16" s="1"/>
  <c r="S32" i="16"/>
  <c r="X32" i="16" s="1"/>
  <c r="T31" i="16"/>
  <c r="Y31" i="16" s="1"/>
  <c r="S31" i="16"/>
  <c r="X31" i="16" s="1"/>
  <c r="T30" i="16"/>
  <c r="Y30" i="16" s="1"/>
  <c r="S30" i="16"/>
  <c r="X30" i="16" s="1"/>
  <c r="T29" i="16"/>
  <c r="Y29" i="16" s="1"/>
  <c r="S29" i="16"/>
  <c r="X29" i="16" s="1"/>
  <c r="T28" i="16"/>
  <c r="Y28" i="16" s="1"/>
  <c r="S28" i="16"/>
  <c r="X28" i="16" s="1"/>
  <c r="T27" i="16"/>
  <c r="Y27" i="16" s="1"/>
  <c r="S27" i="16"/>
  <c r="X27" i="16" s="1"/>
  <c r="T26" i="16"/>
  <c r="Y26" i="16" s="1"/>
  <c r="S26" i="16"/>
  <c r="X26" i="16" s="1"/>
  <c r="T25" i="16"/>
  <c r="Y25" i="16" s="1"/>
  <c r="S25" i="16"/>
  <c r="X25" i="16" s="1"/>
  <c r="T24" i="16"/>
  <c r="Y24" i="16" s="1"/>
  <c r="S24" i="16"/>
  <c r="X24" i="16" s="1"/>
  <c r="T23" i="16"/>
  <c r="Y23" i="16" s="1"/>
  <c r="S23" i="16"/>
  <c r="X23" i="16" s="1"/>
  <c r="T22" i="16"/>
  <c r="Y22" i="16" s="1"/>
  <c r="S22" i="16"/>
  <c r="X22" i="16" s="1"/>
  <c r="T21" i="16"/>
  <c r="Y21" i="16" s="1"/>
  <c r="S21" i="16"/>
  <c r="X21" i="16" s="1"/>
  <c r="T20" i="16"/>
  <c r="Y20" i="16" s="1"/>
  <c r="S20" i="16"/>
  <c r="X20" i="16" s="1"/>
  <c r="T19" i="16"/>
  <c r="Y19" i="16" s="1"/>
  <c r="S19" i="16"/>
  <c r="X19" i="16" s="1"/>
  <c r="T18" i="16"/>
  <c r="Y18" i="16" s="1"/>
  <c r="S18" i="16"/>
  <c r="X18" i="16" s="1"/>
  <c r="T17" i="16"/>
  <c r="Y17" i="16" s="1"/>
  <c r="S17" i="16"/>
  <c r="X17" i="16" s="1"/>
  <c r="T16" i="16"/>
  <c r="Y16" i="16" s="1"/>
  <c r="S16" i="16"/>
  <c r="X16" i="16" s="1"/>
  <c r="T15" i="16"/>
  <c r="Y15" i="16" s="1"/>
  <c r="S15" i="16"/>
  <c r="X15" i="16" s="1"/>
  <c r="T14" i="16"/>
  <c r="Y14" i="16" s="1"/>
  <c r="S14" i="16"/>
  <c r="X14" i="16" s="1"/>
  <c r="T13" i="16"/>
  <c r="Y13" i="16" s="1"/>
  <c r="S13" i="16"/>
  <c r="X13" i="16" s="1"/>
  <c r="T12" i="16"/>
  <c r="Y12" i="16" s="1"/>
  <c r="S12" i="16"/>
  <c r="X12" i="16" s="1"/>
  <c r="T11" i="16"/>
  <c r="Y11" i="16" s="1"/>
  <c r="S11" i="16"/>
  <c r="X11" i="16" s="1"/>
  <c r="T10" i="16"/>
  <c r="Y10" i="16" s="1"/>
  <c r="S10" i="16"/>
  <c r="X10" i="16" s="1"/>
  <c r="T9" i="16"/>
  <c r="Y9" i="16" s="1"/>
  <c r="S9" i="16"/>
  <c r="X9" i="16" s="1"/>
  <c r="E9" i="16"/>
  <c r="D9" i="16"/>
  <c r="T8" i="16"/>
  <c r="Y8" i="16" s="1"/>
  <c r="S8" i="16"/>
  <c r="X8" i="16" s="1"/>
  <c r="E8" i="16"/>
  <c r="T7" i="16"/>
  <c r="Y7" i="16" s="1"/>
  <c r="S7" i="16"/>
  <c r="X7" i="16" s="1"/>
  <c r="E7" i="16"/>
  <c r="D7" i="16"/>
  <c r="T6" i="16"/>
  <c r="Y6" i="16" s="1"/>
  <c r="S6" i="16"/>
  <c r="X6" i="16" s="1"/>
  <c r="E6" i="16"/>
  <c r="D6" i="16"/>
  <c r="T5" i="16"/>
  <c r="Y5" i="16" s="1"/>
  <c r="S5" i="16"/>
  <c r="X5" i="16" s="1"/>
  <c r="E5" i="16"/>
  <c r="D5" i="16"/>
  <c r="T4" i="16"/>
  <c r="Y4" i="16" s="1"/>
  <c r="S4" i="16"/>
  <c r="X4" i="16" s="1"/>
  <c r="E4" i="16"/>
  <c r="D8" i="15"/>
  <c r="T34" i="15"/>
  <c r="Y34" i="15" s="1"/>
  <c r="S34" i="15"/>
  <c r="X34" i="15" s="1"/>
  <c r="T33" i="15"/>
  <c r="Y33" i="15" s="1"/>
  <c r="S33" i="15"/>
  <c r="X33" i="15" s="1"/>
  <c r="T32" i="15"/>
  <c r="Y32" i="15" s="1"/>
  <c r="S32" i="15"/>
  <c r="X32" i="15" s="1"/>
  <c r="T31" i="15"/>
  <c r="Y31" i="15" s="1"/>
  <c r="S31" i="15"/>
  <c r="X31" i="15" s="1"/>
  <c r="T30" i="15"/>
  <c r="Y30" i="15" s="1"/>
  <c r="S30" i="15"/>
  <c r="X30" i="15" s="1"/>
  <c r="T29" i="15"/>
  <c r="Y29" i="15" s="1"/>
  <c r="S29" i="15"/>
  <c r="X29" i="15" s="1"/>
  <c r="T28" i="15"/>
  <c r="Y28" i="15" s="1"/>
  <c r="S28" i="15"/>
  <c r="X28" i="15" s="1"/>
  <c r="T27" i="15"/>
  <c r="Y27" i="15" s="1"/>
  <c r="S27" i="15"/>
  <c r="X27" i="15" s="1"/>
  <c r="T26" i="15"/>
  <c r="Y26" i="15" s="1"/>
  <c r="S26" i="15"/>
  <c r="X26" i="15" s="1"/>
  <c r="T25" i="15"/>
  <c r="Y25" i="15" s="1"/>
  <c r="S25" i="15"/>
  <c r="X25" i="15" s="1"/>
  <c r="T24" i="15"/>
  <c r="Y24" i="15" s="1"/>
  <c r="S24" i="15"/>
  <c r="X24" i="15" s="1"/>
  <c r="T23" i="15"/>
  <c r="Y23" i="15" s="1"/>
  <c r="S23" i="15"/>
  <c r="X23" i="15" s="1"/>
  <c r="T22" i="15"/>
  <c r="Y22" i="15" s="1"/>
  <c r="S22" i="15"/>
  <c r="X22" i="15" s="1"/>
  <c r="T21" i="15"/>
  <c r="Y21" i="15" s="1"/>
  <c r="S21" i="15"/>
  <c r="X21" i="15" s="1"/>
  <c r="T20" i="15"/>
  <c r="Y20" i="15" s="1"/>
  <c r="S20" i="15"/>
  <c r="X20" i="15" s="1"/>
  <c r="T19" i="15"/>
  <c r="Y19" i="15" s="1"/>
  <c r="S19" i="15"/>
  <c r="X19" i="15" s="1"/>
  <c r="T18" i="15"/>
  <c r="Y18" i="15" s="1"/>
  <c r="S18" i="15"/>
  <c r="X18" i="15" s="1"/>
  <c r="T17" i="15"/>
  <c r="Y17" i="15" s="1"/>
  <c r="S17" i="15"/>
  <c r="X17" i="15" s="1"/>
  <c r="T16" i="15"/>
  <c r="Y16" i="15" s="1"/>
  <c r="S16" i="15"/>
  <c r="X16" i="15" s="1"/>
  <c r="T15" i="15"/>
  <c r="Y15" i="15" s="1"/>
  <c r="S15" i="15"/>
  <c r="X15" i="15" s="1"/>
  <c r="T14" i="15"/>
  <c r="Y14" i="15" s="1"/>
  <c r="S14" i="15"/>
  <c r="X14" i="15" s="1"/>
  <c r="T13" i="15"/>
  <c r="Y13" i="15" s="1"/>
  <c r="S13" i="15"/>
  <c r="X13" i="15" s="1"/>
  <c r="T12" i="15"/>
  <c r="Y12" i="15" s="1"/>
  <c r="S12" i="15"/>
  <c r="X12" i="15" s="1"/>
  <c r="T11" i="15"/>
  <c r="Y11" i="15" s="1"/>
  <c r="S11" i="15"/>
  <c r="X11" i="15" s="1"/>
  <c r="T10" i="15"/>
  <c r="Y10" i="15" s="1"/>
  <c r="S10" i="15"/>
  <c r="X10" i="15" s="1"/>
  <c r="T9" i="15"/>
  <c r="Y9" i="15" s="1"/>
  <c r="S9" i="15"/>
  <c r="X9" i="15" s="1"/>
  <c r="E9" i="15"/>
  <c r="D9" i="15"/>
  <c r="T8" i="15"/>
  <c r="Y8" i="15" s="1"/>
  <c r="S8" i="15"/>
  <c r="X8" i="15" s="1"/>
  <c r="E8" i="15"/>
  <c r="T7" i="15"/>
  <c r="Y7" i="15" s="1"/>
  <c r="S7" i="15"/>
  <c r="X7" i="15" s="1"/>
  <c r="E7" i="15"/>
  <c r="D7" i="15"/>
  <c r="T6" i="15"/>
  <c r="Y6" i="15" s="1"/>
  <c r="S6" i="15"/>
  <c r="X6" i="15" s="1"/>
  <c r="E6" i="15"/>
  <c r="D6" i="15"/>
  <c r="T5" i="15"/>
  <c r="Y5" i="15" s="1"/>
  <c r="S5" i="15"/>
  <c r="X5" i="15" s="1"/>
  <c r="E5" i="15"/>
  <c r="D5" i="15"/>
  <c r="T4" i="15"/>
  <c r="Y4" i="15" s="1"/>
  <c r="S4" i="15"/>
  <c r="X4" i="15" s="1"/>
  <c r="E4" i="15"/>
  <c r="D8" i="13"/>
  <c r="D7" i="13"/>
  <c r="D6" i="13"/>
  <c r="D5" i="13"/>
  <c r="S5" i="13"/>
  <c r="X5" i="13" s="1"/>
  <c r="T5" i="13"/>
  <c r="Y5" i="13" s="1"/>
  <c r="S6" i="13"/>
  <c r="X6" i="13" s="1"/>
  <c r="T6" i="13"/>
  <c r="Y6" i="13" s="1"/>
  <c r="S7" i="13"/>
  <c r="X7" i="13" s="1"/>
  <c r="T7" i="13"/>
  <c r="Y7" i="13" s="1"/>
  <c r="S8" i="13"/>
  <c r="X8" i="13" s="1"/>
  <c r="T8" i="13"/>
  <c r="Y8" i="13" s="1"/>
  <c r="S9" i="13"/>
  <c r="X9" i="13" s="1"/>
  <c r="T9" i="13"/>
  <c r="Y9" i="13" s="1"/>
  <c r="S10" i="13"/>
  <c r="X10" i="13" s="1"/>
  <c r="T10" i="13"/>
  <c r="Y10" i="13" s="1"/>
  <c r="S11" i="13"/>
  <c r="X11" i="13" s="1"/>
  <c r="T11" i="13"/>
  <c r="Y11" i="13" s="1"/>
  <c r="S12" i="13"/>
  <c r="X12" i="13" s="1"/>
  <c r="T12" i="13"/>
  <c r="Y12" i="13" s="1"/>
  <c r="S13" i="13"/>
  <c r="X13" i="13" s="1"/>
  <c r="T13" i="13"/>
  <c r="Y13" i="13" s="1"/>
  <c r="S14" i="13"/>
  <c r="X14" i="13" s="1"/>
  <c r="T14" i="13"/>
  <c r="Y14" i="13" s="1"/>
  <c r="S15" i="13"/>
  <c r="X15" i="13" s="1"/>
  <c r="T15" i="13"/>
  <c r="Y15" i="13" s="1"/>
  <c r="S16" i="13"/>
  <c r="X16" i="13" s="1"/>
  <c r="T16" i="13"/>
  <c r="Y16" i="13" s="1"/>
  <c r="S17" i="13"/>
  <c r="X17" i="13" s="1"/>
  <c r="T17" i="13"/>
  <c r="Y17" i="13" s="1"/>
  <c r="S18" i="13"/>
  <c r="X18" i="13" s="1"/>
  <c r="T18" i="13"/>
  <c r="Y18" i="13" s="1"/>
  <c r="S19" i="13"/>
  <c r="X19" i="13" s="1"/>
  <c r="T19" i="13"/>
  <c r="Y19" i="13" s="1"/>
  <c r="S20" i="13"/>
  <c r="X20" i="13" s="1"/>
  <c r="T20" i="13"/>
  <c r="Y20" i="13" s="1"/>
  <c r="S21" i="13"/>
  <c r="X21" i="13" s="1"/>
  <c r="T21" i="13"/>
  <c r="Y21" i="13" s="1"/>
  <c r="S22" i="13"/>
  <c r="X22" i="13" s="1"/>
  <c r="T22" i="13"/>
  <c r="Y22" i="13" s="1"/>
  <c r="S23" i="13"/>
  <c r="X23" i="13" s="1"/>
  <c r="T23" i="13"/>
  <c r="Y23" i="13" s="1"/>
  <c r="S24" i="13"/>
  <c r="X24" i="13" s="1"/>
  <c r="T24" i="13"/>
  <c r="Y24" i="13" s="1"/>
  <c r="S25" i="13"/>
  <c r="X25" i="13" s="1"/>
  <c r="T25" i="13"/>
  <c r="Y25" i="13" s="1"/>
  <c r="S26" i="13"/>
  <c r="X26" i="13" s="1"/>
  <c r="T26" i="13"/>
  <c r="Y26" i="13" s="1"/>
  <c r="S27" i="13"/>
  <c r="X27" i="13" s="1"/>
  <c r="T27" i="13"/>
  <c r="Y27" i="13" s="1"/>
  <c r="S28" i="13"/>
  <c r="X28" i="13" s="1"/>
  <c r="T28" i="13"/>
  <c r="Y28" i="13" s="1"/>
  <c r="S29" i="13"/>
  <c r="X29" i="13" s="1"/>
  <c r="T29" i="13"/>
  <c r="Y29" i="13" s="1"/>
  <c r="S30" i="13"/>
  <c r="X30" i="13" s="1"/>
  <c r="T30" i="13"/>
  <c r="Y30" i="13" s="1"/>
  <c r="S31" i="13"/>
  <c r="X31" i="13" s="1"/>
  <c r="T31" i="13"/>
  <c r="Y31" i="13" s="1"/>
  <c r="S32" i="13"/>
  <c r="X32" i="13" s="1"/>
  <c r="T32" i="13"/>
  <c r="Y32" i="13" s="1"/>
  <c r="S33" i="13"/>
  <c r="X33" i="13" s="1"/>
  <c r="T33" i="13"/>
  <c r="Y33" i="13" s="1"/>
  <c r="S34" i="13"/>
  <c r="X34" i="13" s="1"/>
  <c r="T34" i="13"/>
  <c r="Y34" i="13" s="1"/>
  <c r="T4" i="13"/>
  <c r="Y4" i="13" s="1"/>
  <c r="S4" i="13"/>
  <c r="X4" i="13" s="1"/>
  <c r="D9" i="13"/>
  <c r="E9" i="13"/>
  <c r="E8" i="13"/>
  <c r="E7" i="13"/>
  <c r="E6" i="13"/>
  <c r="E5" i="13"/>
  <c r="E4" i="13"/>
  <c r="L7" i="22" l="1"/>
  <c r="R8" i="22" s="1"/>
  <c r="O7" i="22"/>
  <c r="L6" i="20"/>
  <c r="R7" i="20" s="1"/>
  <c r="O6" i="20"/>
  <c r="L6" i="18"/>
  <c r="R7" i="18" s="1"/>
  <c r="O6" i="18"/>
  <c r="B4" i="18"/>
  <c r="U5" i="18" s="1"/>
  <c r="V4" i="20"/>
  <c r="B5" i="22"/>
  <c r="U6" i="22" s="1"/>
  <c r="I6" i="20"/>
  <c r="B4" i="20"/>
  <c r="U5" i="20" s="1"/>
  <c r="V4" i="18"/>
  <c r="V5" i="22"/>
  <c r="E3" i="22"/>
  <c r="Y3" i="22" s="1"/>
  <c r="I5" i="21"/>
  <c r="V3" i="22"/>
  <c r="I6" i="18"/>
  <c r="F6" i="18"/>
  <c r="E3" i="21"/>
  <c r="Y3" i="21" s="1"/>
  <c r="V3" i="21"/>
  <c r="F6" i="20"/>
  <c r="G4" i="20"/>
  <c r="H4" i="20"/>
  <c r="K4" i="20"/>
  <c r="J4" i="20"/>
  <c r="N4" i="20"/>
  <c r="M4" i="20"/>
  <c r="E4" i="20"/>
  <c r="D4" i="20"/>
  <c r="G4" i="18"/>
  <c r="H4" i="18"/>
  <c r="K4" i="18"/>
  <c r="J4" i="18"/>
  <c r="N4" i="18"/>
  <c r="M4" i="18"/>
  <c r="E4" i="18"/>
  <c r="D4" i="18"/>
  <c r="Q27" i="12"/>
  <c r="Q20" i="12"/>
  <c r="AM31" i="12"/>
  <c r="AL31" i="12"/>
  <c r="AK31" i="12"/>
  <c r="AJ31" i="12"/>
  <c r="AI31" i="12"/>
  <c r="AH31" i="12"/>
  <c r="AM30" i="12"/>
  <c r="AK30" i="12"/>
  <c r="AH30" i="12"/>
  <c r="AL29" i="12"/>
  <c r="AI29" i="12"/>
  <c r="AH29" i="12"/>
  <c r="AM28" i="12"/>
  <c r="AH28" i="12"/>
  <c r="AM27" i="12"/>
  <c r="AK27" i="12"/>
  <c r="AH27" i="12"/>
  <c r="AM26" i="12"/>
  <c r="AL26" i="12"/>
  <c r="AM24" i="12"/>
  <c r="AL24" i="12"/>
  <c r="AK24" i="12"/>
  <c r="AJ24" i="12"/>
  <c r="AI24" i="12"/>
  <c r="AH24" i="12"/>
  <c r="AM23" i="12"/>
  <c r="AK23" i="12"/>
  <c r="AH23" i="12"/>
  <c r="AL22" i="12"/>
  <c r="AI22" i="12"/>
  <c r="AH22" i="12"/>
  <c r="AM21" i="12"/>
  <c r="AH21" i="12"/>
  <c r="AM20" i="12"/>
  <c r="AK20" i="12"/>
  <c r="AH20" i="12"/>
  <c r="AM19" i="12"/>
  <c r="AL19" i="12"/>
  <c r="AM17" i="12"/>
  <c r="AL17" i="12"/>
  <c r="AK17" i="12"/>
  <c r="AJ17" i="12"/>
  <c r="AI17" i="12"/>
  <c r="AH17" i="12"/>
  <c r="AM16" i="12"/>
  <c r="AK16" i="12"/>
  <c r="AH16" i="12"/>
  <c r="AL15" i="12"/>
  <c r="AI15" i="12"/>
  <c r="AH15" i="12"/>
  <c r="AM14" i="12"/>
  <c r="AH14" i="12"/>
  <c r="AM13" i="12"/>
  <c r="AK13" i="12"/>
  <c r="AH13" i="12"/>
  <c r="AM12" i="12"/>
  <c r="AL12" i="12"/>
  <c r="Q13" i="12"/>
  <c r="AH6" i="12"/>
  <c r="AK6" i="12"/>
  <c r="AM6" i="12"/>
  <c r="AH7" i="12"/>
  <c r="AM7" i="12"/>
  <c r="AH8" i="12"/>
  <c r="AI8" i="12"/>
  <c r="AL8" i="12"/>
  <c r="AH9" i="12"/>
  <c r="AK9" i="12"/>
  <c r="AM9" i="12"/>
  <c r="AH10" i="12"/>
  <c r="AI10" i="12"/>
  <c r="AJ10" i="12"/>
  <c r="AK10" i="12"/>
  <c r="AL10" i="12"/>
  <c r="AM10" i="12"/>
  <c r="AL5" i="12"/>
  <c r="AM5" i="12"/>
  <c r="F36" i="1"/>
  <c r="F38" i="1" s="1"/>
  <c r="F35" i="1"/>
  <c r="F37" i="1" s="1"/>
  <c r="F32" i="1"/>
  <c r="H7" i="12" s="1"/>
  <c r="AL7" i="12" s="1"/>
  <c r="F31" i="1"/>
  <c r="G7" i="12" s="1"/>
  <c r="AK7" i="12" s="1"/>
  <c r="F30" i="1"/>
  <c r="E7" i="12" s="1"/>
  <c r="AI7" i="12" s="1"/>
  <c r="F29" i="1"/>
  <c r="F28" i="1"/>
  <c r="F6" i="12" s="1"/>
  <c r="AJ6" i="12" s="1"/>
  <c r="F27" i="1"/>
  <c r="G5" i="12" s="1"/>
  <c r="AK5" i="12" s="1"/>
  <c r="F26" i="1"/>
  <c r="F5" i="12" s="1"/>
  <c r="AJ5" i="12" s="1"/>
  <c r="F25" i="1"/>
  <c r="E5" i="12" s="1"/>
  <c r="AI5" i="12" s="1"/>
  <c r="F34" i="1"/>
  <c r="I8" i="12" s="1"/>
  <c r="AM8" i="12" s="1"/>
  <c r="F33" i="1"/>
  <c r="F8" i="12" s="1"/>
  <c r="AJ8" i="12" s="1"/>
  <c r="L7" i="20" l="1"/>
  <c r="R8" i="20" s="1"/>
  <c r="L6" i="21"/>
  <c r="R7" i="21" s="1"/>
  <c r="O6" i="21"/>
  <c r="O7" i="20"/>
  <c r="L7" i="18"/>
  <c r="R8" i="18" s="1"/>
  <c r="O7" i="18"/>
  <c r="B5" i="20"/>
  <c r="U6" i="20" s="1"/>
  <c r="V4" i="21"/>
  <c r="B4" i="21"/>
  <c r="U5" i="21" s="1"/>
  <c r="V5" i="20"/>
  <c r="V5" i="18"/>
  <c r="B5" i="18"/>
  <c r="U6" i="18" s="1"/>
  <c r="I6" i="21"/>
  <c r="K4" i="22"/>
  <c r="J4" i="22"/>
  <c r="H4" i="22"/>
  <c r="N4" i="22"/>
  <c r="M4" i="22"/>
  <c r="D4" i="22"/>
  <c r="E4" i="22"/>
  <c r="H4" i="21"/>
  <c r="G4" i="21"/>
  <c r="K4" i="21"/>
  <c r="J4" i="21"/>
  <c r="M4" i="21"/>
  <c r="N4" i="21"/>
  <c r="E4" i="21"/>
  <c r="D4" i="21"/>
  <c r="E5" i="20"/>
  <c r="D5" i="20"/>
  <c r="T5" i="20"/>
  <c r="S5" i="20"/>
  <c r="H5" i="20"/>
  <c r="G5" i="20"/>
  <c r="X4" i="20"/>
  <c r="K5" i="20"/>
  <c r="J5" i="20"/>
  <c r="Y4" i="20"/>
  <c r="M5" i="20"/>
  <c r="N5" i="20"/>
  <c r="Q5" i="20"/>
  <c r="P5" i="20"/>
  <c r="Y4" i="18"/>
  <c r="T5" i="18"/>
  <c r="S5" i="18"/>
  <c r="E5" i="18"/>
  <c r="D5" i="18"/>
  <c r="X4" i="18"/>
  <c r="M5" i="18"/>
  <c r="N5" i="18"/>
  <c r="H5" i="18"/>
  <c r="G5" i="18"/>
  <c r="J5" i="18"/>
  <c r="K5" i="18"/>
  <c r="Q5" i="18"/>
  <c r="P5" i="18"/>
  <c r="E6" i="12"/>
  <c r="AI6" i="12" s="1"/>
  <c r="N13" i="12"/>
  <c r="P13" i="12"/>
  <c r="H16" i="12"/>
  <c r="AL16" i="12" s="1"/>
  <c r="E20" i="12"/>
  <c r="AI20" i="12" s="1"/>
  <c r="F40" i="1"/>
  <c r="F23" i="12" s="1"/>
  <c r="AJ23" i="12" s="1"/>
  <c r="E26" i="12"/>
  <c r="AI26" i="12" s="1"/>
  <c r="F41" i="1"/>
  <c r="E30" i="12" s="1"/>
  <c r="AI30" i="12" s="1"/>
  <c r="F26" i="12"/>
  <c r="AJ26" i="12" s="1"/>
  <c r="F39" i="1"/>
  <c r="G19" i="12"/>
  <c r="AK19" i="12" s="1"/>
  <c r="D26" i="12"/>
  <c r="AH26" i="12" s="1"/>
  <c r="N19" i="12"/>
  <c r="H27" i="12"/>
  <c r="AL27" i="12" s="1"/>
  <c r="E13" i="12"/>
  <c r="AI13" i="12" s="1"/>
  <c r="G29" i="12"/>
  <c r="AK29" i="12" s="1"/>
  <c r="M19" i="12"/>
  <c r="F13" i="12"/>
  <c r="AJ13" i="12" s="1"/>
  <c r="N26" i="12"/>
  <c r="I29" i="12"/>
  <c r="AM29" i="12" s="1"/>
  <c r="G12" i="12"/>
  <c r="AK12" i="12" s="1"/>
  <c r="H13" i="12"/>
  <c r="AL13" i="12" s="1"/>
  <c r="O26" i="12"/>
  <c r="F15" i="12"/>
  <c r="AJ15" i="12" s="1"/>
  <c r="N27" i="12"/>
  <c r="N12" i="12"/>
  <c r="O12" i="12"/>
  <c r="F19" i="12"/>
  <c r="AJ19" i="12" s="1"/>
  <c r="M7" i="12"/>
  <c r="F42" i="1"/>
  <c r="N20" i="12"/>
  <c r="P27" i="12"/>
  <c r="F20" i="12"/>
  <c r="AJ20" i="12" s="1"/>
  <c r="G26" i="12"/>
  <c r="AK26" i="12" s="1"/>
  <c r="O7" i="12"/>
  <c r="N8" i="12"/>
  <c r="E9" i="12"/>
  <c r="Q8" i="12"/>
  <c r="E14" i="12"/>
  <c r="AI14" i="12" s="1"/>
  <c r="E16" i="12"/>
  <c r="AI16" i="12" s="1"/>
  <c r="P20" i="12"/>
  <c r="H20" i="12"/>
  <c r="AL20" i="12" s="1"/>
  <c r="E27" i="12"/>
  <c r="AI27" i="12" s="1"/>
  <c r="F14" i="12"/>
  <c r="AJ14" i="12" s="1"/>
  <c r="M14" i="12"/>
  <c r="F16" i="12"/>
  <c r="AJ16" i="12" s="1"/>
  <c r="M28" i="12"/>
  <c r="E21" i="12"/>
  <c r="AI21" i="12" s="1"/>
  <c r="F27" i="12"/>
  <c r="AJ27" i="12" s="1"/>
  <c r="P7" i="12"/>
  <c r="G14" i="12"/>
  <c r="AK14" i="12" s="1"/>
  <c r="F21" i="12"/>
  <c r="AJ21" i="12" s="1"/>
  <c r="O14" i="12"/>
  <c r="O28" i="12"/>
  <c r="M5" i="12"/>
  <c r="H14" i="12"/>
  <c r="AL14" i="12" s="1"/>
  <c r="P14" i="12"/>
  <c r="O21" i="12"/>
  <c r="P28" i="12"/>
  <c r="G21" i="12"/>
  <c r="AK21" i="12" s="1"/>
  <c r="E28" i="12"/>
  <c r="AI28" i="12" s="1"/>
  <c r="H9" i="12"/>
  <c r="AL9" i="12" s="1"/>
  <c r="P21" i="12"/>
  <c r="N29" i="12"/>
  <c r="H21" i="12"/>
  <c r="AL21" i="12" s="1"/>
  <c r="F28" i="12"/>
  <c r="AJ28" i="12" s="1"/>
  <c r="F9" i="12"/>
  <c r="N15" i="12"/>
  <c r="O5" i="12"/>
  <c r="D12" i="12"/>
  <c r="AH12" i="12" s="1"/>
  <c r="G15" i="12"/>
  <c r="AK15" i="12" s="1"/>
  <c r="Q15" i="12"/>
  <c r="N22" i="12"/>
  <c r="Q29" i="12"/>
  <c r="F22" i="12"/>
  <c r="AJ22" i="12" s="1"/>
  <c r="G28" i="12"/>
  <c r="AK28" i="12" s="1"/>
  <c r="O19" i="12"/>
  <c r="M21" i="12"/>
  <c r="N6" i="12"/>
  <c r="E12" i="12"/>
  <c r="AI12" i="12" s="1"/>
  <c r="I15" i="12"/>
  <c r="AM15" i="12" s="1"/>
  <c r="Q22" i="12"/>
  <c r="D19" i="12"/>
  <c r="AH19" i="12" s="1"/>
  <c r="G22" i="12"/>
  <c r="AK22" i="12" s="1"/>
  <c r="H28" i="12"/>
  <c r="AL28" i="12" s="1"/>
  <c r="N5" i="12"/>
  <c r="P6" i="12"/>
  <c r="F12" i="12"/>
  <c r="AJ12" i="12" s="1"/>
  <c r="M12" i="12"/>
  <c r="M26" i="12"/>
  <c r="E19" i="12"/>
  <c r="AI19" i="12" s="1"/>
  <c r="I22" i="12"/>
  <c r="AM22" i="12" s="1"/>
  <c r="F29" i="12"/>
  <c r="AJ29" i="12" s="1"/>
  <c r="G8" i="12"/>
  <c r="AK8" i="12" s="1"/>
  <c r="H6" i="12"/>
  <c r="AL6" i="12" s="1"/>
  <c r="F7" i="12"/>
  <c r="AJ7" i="12" s="1"/>
  <c r="D5" i="12"/>
  <c r="AH5" i="12" s="1"/>
  <c r="Q6" i="12"/>
  <c r="M5" i="10"/>
  <c r="M4" i="10"/>
  <c r="H5" i="10"/>
  <c r="H4" i="10"/>
  <c r="L5" i="10"/>
  <c r="L4" i="10"/>
  <c r="G5" i="10"/>
  <c r="G4" i="10"/>
  <c r="L7" i="21" l="1"/>
  <c r="R8" i="21" s="1"/>
  <c r="F6" i="21"/>
  <c r="O7" i="21" s="1"/>
  <c r="I7" i="20"/>
  <c r="L8" i="20" s="1"/>
  <c r="R9" i="20" s="1"/>
  <c r="F7" i="20"/>
  <c r="I7" i="18"/>
  <c r="L8" i="18" s="1"/>
  <c r="R9" i="18" s="1"/>
  <c r="F7" i="18"/>
  <c r="B5" i="21"/>
  <c r="U6" i="21" s="1"/>
  <c r="V6" i="20"/>
  <c r="V5" i="21"/>
  <c r="V6" i="18"/>
  <c r="B6" i="20"/>
  <c r="U7" i="20" s="1"/>
  <c r="B6" i="18"/>
  <c r="U7" i="18" s="1"/>
  <c r="F7" i="22"/>
  <c r="I7" i="22"/>
  <c r="L8" i="22" s="1"/>
  <c r="R9" i="22" s="1"/>
  <c r="H5" i="22"/>
  <c r="Y4" i="22"/>
  <c r="X4" i="22"/>
  <c r="Q5" i="22"/>
  <c r="P5" i="22"/>
  <c r="K5" i="22"/>
  <c r="J5" i="22"/>
  <c r="N5" i="22"/>
  <c r="M5" i="22"/>
  <c r="E5" i="22"/>
  <c r="D5" i="22"/>
  <c r="T5" i="22"/>
  <c r="S5" i="22"/>
  <c r="Y4" i="21"/>
  <c r="M5" i="21"/>
  <c r="N5" i="21"/>
  <c r="E5" i="21"/>
  <c r="D5" i="21"/>
  <c r="T5" i="21"/>
  <c r="S5" i="21"/>
  <c r="X4" i="21"/>
  <c r="H5" i="21"/>
  <c r="G5" i="21"/>
  <c r="Q5" i="21"/>
  <c r="P5" i="21"/>
  <c r="K5" i="21"/>
  <c r="J5" i="21"/>
  <c r="Q6" i="20"/>
  <c r="P6" i="20"/>
  <c r="S6" i="20"/>
  <c r="T6" i="20"/>
  <c r="N6" i="20"/>
  <c r="M6" i="20"/>
  <c r="K6" i="20"/>
  <c r="J6" i="20"/>
  <c r="H23" i="12"/>
  <c r="AL23" i="12" s="1"/>
  <c r="E6" i="20"/>
  <c r="D6" i="20"/>
  <c r="X5" i="20"/>
  <c r="G6" i="20"/>
  <c r="H6" i="20"/>
  <c r="Y5" i="20"/>
  <c r="M6" i="18"/>
  <c r="N6" i="18"/>
  <c r="K6" i="18"/>
  <c r="J6" i="18"/>
  <c r="D6" i="18"/>
  <c r="E6" i="18"/>
  <c r="X5" i="18"/>
  <c r="P6" i="18"/>
  <c r="Q6" i="18"/>
  <c r="G6" i="18"/>
  <c r="H6" i="18"/>
  <c r="Y5" i="18"/>
  <c r="S6" i="18"/>
  <c r="T6" i="18"/>
  <c r="M13" i="12"/>
  <c r="H30" i="12"/>
  <c r="AL30" i="12" s="1"/>
  <c r="O8" i="12"/>
  <c r="O29" i="12"/>
  <c r="L19" i="12"/>
  <c r="M27" i="12"/>
  <c r="L12" i="12"/>
  <c r="E23" i="12"/>
  <c r="AI23" i="12" s="1"/>
  <c r="AO19" i="12" s="1" a="1"/>
  <c r="AO19" i="12" s="1"/>
  <c r="F30" i="12"/>
  <c r="AJ30" i="12" s="1"/>
  <c r="N7" i="12"/>
  <c r="AO12" i="12" a="1"/>
  <c r="AO12" i="12" s="1"/>
  <c r="O15" i="12"/>
  <c r="M6" i="12"/>
  <c r="L26" i="12"/>
  <c r="N21" i="12"/>
  <c r="L5" i="12"/>
  <c r="N14" i="12"/>
  <c r="M20" i="12"/>
  <c r="O22" i="12"/>
  <c r="M9" i="12"/>
  <c r="AI9" i="12"/>
  <c r="M16" i="12"/>
  <c r="N16" i="12"/>
  <c r="N9" i="12"/>
  <c r="AJ9" i="12"/>
  <c r="N28" i="12"/>
  <c r="O8" i="22" l="1"/>
  <c r="I7" i="21"/>
  <c r="L8" i="21" s="1"/>
  <c r="R9" i="21" s="1"/>
  <c r="F7" i="21"/>
  <c r="O8" i="20"/>
  <c r="I8" i="20"/>
  <c r="L9" i="20" s="1"/>
  <c r="R10" i="20" s="1"/>
  <c r="F8" i="20"/>
  <c r="O8" i="18"/>
  <c r="I8" i="18"/>
  <c r="L9" i="18" s="1"/>
  <c r="R10" i="18" s="1"/>
  <c r="F8" i="18"/>
  <c r="B6" i="22"/>
  <c r="U7" i="22" s="1"/>
  <c r="V6" i="22"/>
  <c r="B6" i="21"/>
  <c r="U7" i="21" s="1"/>
  <c r="V6" i="21"/>
  <c r="V7" i="20"/>
  <c r="B7" i="20"/>
  <c r="U8" i="20" s="1"/>
  <c r="V7" i="18"/>
  <c r="B7" i="18"/>
  <c r="U8" i="18" s="1"/>
  <c r="F8" i="21"/>
  <c r="F8" i="22"/>
  <c r="S6" i="22"/>
  <c r="T6" i="22"/>
  <c r="N6" i="22"/>
  <c r="M6" i="22"/>
  <c r="K6" i="22"/>
  <c r="J6" i="22"/>
  <c r="E6" i="22"/>
  <c r="D6" i="22"/>
  <c r="X5" i="22"/>
  <c r="G6" i="22"/>
  <c r="H6" i="22"/>
  <c r="Y5" i="22"/>
  <c r="Q6" i="22"/>
  <c r="P6" i="22"/>
  <c r="X5" i="21"/>
  <c r="Y5" i="21"/>
  <c r="K6" i="21"/>
  <c r="J6" i="21"/>
  <c r="H6" i="21"/>
  <c r="G6" i="21"/>
  <c r="Q6" i="21"/>
  <c r="P6" i="21"/>
  <c r="M6" i="21"/>
  <c r="N6" i="21"/>
  <c r="E6" i="21"/>
  <c r="D6" i="21"/>
  <c r="S6" i="21"/>
  <c r="T6" i="21"/>
  <c r="T7" i="20"/>
  <c r="S7" i="20"/>
  <c r="AO26" i="12" a="1"/>
  <c r="AO26" i="12" s="1"/>
  <c r="AV26" i="12" s="1" a="1"/>
  <c r="D7" i="20"/>
  <c r="E7" i="20"/>
  <c r="X6" i="20"/>
  <c r="H7" i="20"/>
  <c r="G7" i="20"/>
  <c r="Y6" i="20"/>
  <c r="K7" i="20"/>
  <c r="J7" i="20"/>
  <c r="M7" i="20"/>
  <c r="N7" i="20"/>
  <c r="Q7" i="20"/>
  <c r="P7" i="20"/>
  <c r="K7" i="18"/>
  <c r="J7" i="18"/>
  <c r="X6" i="18"/>
  <c r="Q7" i="18"/>
  <c r="P7" i="18"/>
  <c r="Y6" i="18"/>
  <c r="H7" i="18"/>
  <c r="G7" i="18"/>
  <c r="D7" i="18"/>
  <c r="E7" i="18"/>
  <c r="N7" i="18"/>
  <c r="M7" i="18"/>
  <c r="T7" i="18"/>
  <c r="S7" i="18"/>
  <c r="AO5" i="12" a="1"/>
  <c r="AO5" i="12" s="1"/>
  <c r="AV5" i="12" s="1" a="1"/>
  <c r="N23" i="12"/>
  <c r="M23" i="12"/>
  <c r="P23" i="12" s="1"/>
  <c r="H5" i="16" s="1" a="1"/>
  <c r="H5" i="16" s="1"/>
  <c r="M30" i="12"/>
  <c r="P16" i="12"/>
  <c r="H5" i="15" s="1" a="1"/>
  <c r="H5" i="15" s="1"/>
  <c r="H6" i="15" s="1" a="1"/>
  <c r="H6" i="15" s="1"/>
  <c r="H7" i="15" s="1" a="1"/>
  <c r="H7" i="15" s="1"/>
  <c r="H8" i="15" s="1" a="1"/>
  <c r="H8" i="15" s="1"/>
  <c r="H9" i="15" s="1" a="1"/>
  <c r="H9" i="15" s="1"/>
  <c r="H10" i="15" s="1" a="1"/>
  <c r="H10" i="15" s="1"/>
  <c r="H11" i="15" s="1" a="1"/>
  <c r="H11" i="15" s="1"/>
  <c r="H12" i="15" s="1" a="1"/>
  <c r="H12" i="15" s="1"/>
  <c r="H13" i="15" s="1" a="1"/>
  <c r="H13" i="15" s="1"/>
  <c r="H14" i="15" s="1" a="1"/>
  <c r="H14" i="15" s="1"/>
  <c r="H15" i="15" s="1" a="1"/>
  <c r="H15" i="15" s="1"/>
  <c r="H16" i="15" s="1" a="1"/>
  <c r="H16" i="15" s="1"/>
  <c r="H17" i="15" s="1" a="1"/>
  <c r="H17" i="15" s="1"/>
  <c r="H18" i="15" s="1" a="1"/>
  <c r="H18" i="15" s="1"/>
  <c r="H19" i="15" s="1" a="1"/>
  <c r="H19" i="15" s="1"/>
  <c r="H20" i="15" s="1" a="1"/>
  <c r="H20" i="15" s="1"/>
  <c r="H21" i="15" s="1" a="1"/>
  <c r="H21" i="15" s="1"/>
  <c r="H22" i="15" s="1" a="1"/>
  <c r="H22" i="15" s="1"/>
  <c r="H23" i="15" s="1" a="1"/>
  <c r="H23" i="15" s="1"/>
  <c r="H24" i="15" s="1" a="1"/>
  <c r="H24" i="15" s="1"/>
  <c r="H25" i="15" s="1" a="1"/>
  <c r="H25" i="15" s="1"/>
  <c r="H26" i="15" s="1" a="1"/>
  <c r="H26" i="15" s="1"/>
  <c r="H27" i="15" s="1" a="1"/>
  <c r="H27" i="15" s="1"/>
  <c r="H28" i="15" s="1" a="1"/>
  <c r="H28" i="15" s="1"/>
  <c r="H29" i="15" s="1" a="1"/>
  <c r="H29" i="15" s="1"/>
  <c r="H30" i="15" s="1" a="1"/>
  <c r="H30" i="15" s="1"/>
  <c r="H31" i="15" s="1" a="1"/>
  <c r="H31" i="15" s="1"/>
  <c r="H32" i="15" s="1" a="1"/>
  <c r="H32" i="15" s="1"/>
  <c r="H33" i="15" s="1" a="1"/>
  <c r="H33" i="15" s="1"/>
  <c r="H34" i="15" s="1" a="1"/>
  <c r="H34" i="15" s="1"/>
  <c r="N30" i="12"/>
  <c r="P9" i="12"/>
  <c r="H5" i="13" a="1"/>
  <c r="H5" i="13" s="1"/>
  <c r="AV12" i="12" a="1"/>
  <c r="AV19" i="12" a="1"/>
  <c r="O4" i="9"/>
  <c r="Q4" i="9" s="1"/>
  <c r="R4" i="9"/>
  <c r="T4" i="9" s="1"/>
  <c r="W3" i="9"/>
  <c r="B3" i="9"/>
  <c r="C3" i="9" s="1"/>
  <c r="O4" i="8"/>
  <c r="Q4" i="8" s="1"/>
  <c r="R4" i="8"/>
  <c r="T4" i="8" s="1"/>
  <c r="W3" i="8"/>
  <c r="B3" i="8"/>
  <c r="I8" i="22" l="1"/>
  <c r="L9" i="22" s="1"/>
  <c r="R10" i="22" s="1"/>
  <c r="O8" i="21"/>
  <c r="I8" i="21"/>
  <c r="L9" i="21" s="1"/>
  <c r="R10" i="21" s="1"/>
  <c r="O9" i="20"/>
  <c r="I9" i="20"/>
  <c r="L10" i="20" s="1"/>
  <c r="R11" i="20" s="1"/>
  <c r="O9" i="18"/>
  <c r="F9" i="20"/>
  <c r="I9" i="18"/>
  <c r="L10" i="18" s="1"/>
  <c r="R11" i="18" s="1"/>
  <c r="F9" i="18"/>
  <c r="B7" i="22"/>
  <c r="U8" i="22" s="1"/>
  <c r="V7" i="22"/>
  <c r="B7" i="21"/>
  <c r="U8" i="21" s="1"/>
  <c r="B8" i="20"/>
  <c r="U9" i="20" s="1"/>
  <c r="V7" i="21"/>
  <c r="V8" i="20"/>
  <c r="V8" i="18"/>
  <c r="B8" i="18"/>
  <c r="U9" i="18" s="1"/>
  <c r="F9" i="22"/>
  <c r="Y6" i="22"/>
  <c r="Q7" i="22"/>
  <c r="P7" i="22"/>
  <c r="J7" i="22"/>
  <c r="K7" i="22"/>
  <c r="T7" i="22"/>
  <c r="S7" i="22"/>
  <c r="N7" i="22"/>
  <c r="M7" i="22"/>
  <c r="D7" i="22"/>
  <c r="E7" i="22"/>
  <c r="X6" i="22"/>
  <c r="H7" i="22"/>
  <c r="G7" i="22"/>
  <c r="T7" i="21"/>
  <c r="S7" i="21"/>
  <c r="P7" i="21"/>
  <c r="Q7" i="21"/>
  <c r="X6" i="21"/>
  <c r="Y6" i="21"/>
  <c r="K7" i="21"/>
  <c r="J7" i="21"/>
  <c r="M7" i="21"/>
  <c r="N7" i="21"/>
  <c r="H7" i="21"/>
  <c r="G7" i="21"/>
  <c r="E7" i="21"/>
  <c r="D7" i="21"/>
  <c r="Y7" i="20"/>
  <c r="N8" i="20"/>
  <c r="M8" i="20"/>
  <c r="E8" i="20"/>
  <c r="D8" i="20"/>
  <c r="X7" i="20"/>
  <c r="G8" i="20"/>
  <c r="H8" i="20"/>
  <c r="K8" i="20"/>
  <c r="J8" i="20"/>
  <c r="T8" i="20"/>
  <c r="S8" i="20"/>
  <c r="Q8" i="20"/>
  <c r="P8" i="20"/>
  <c r="E8" i="18"/>
  <c r="D8" i="18"/>
  <c r="Q8" i="18"/>
  <c r="P8" i="18"/>
  <c r="T8" i="18"/>
  <c r="S8" i="18"/>
  <c r="Y7" i="18"/>
  <c r="K8" i="18"/>
  <c r="J8" i="18"/>
  <c r="I4" i="9"/>
  <c r="E3" i="9"/>
  <c r="X3" i="9" s="1"/>
  <c r="N8" i="18"/>
  <c r="M8" i="18"/>
  <c r="H8" i="18"/>
  <c r="G8" i="18"/>
  <c r="X7" i="18"/>
  <c r="P30" i="12"/>
  <c r="H5" i="17" s="1" a="1"/>
  <c r="H5" i="17" s="1"/>
  <c r="H6" i="17" s="1" a="1"/>
  <c r="H6" i="17" s="1"/>
  <c r="H7" i="17" s="1" a="1"/>
  <c r="H7" i="17" s="1"/>
  <c r="H8" i="17" s="1" a="1"/>
  <c r="H8" i="17" s="1"/>
  <c r="H9" i="17" s="1" a="1"/>
  <c r="H9" i="17" s="1"/>
  <c r="H10" i="17" s="1" a="1"/>
  <c r="H10" i="17" s="1"/>
  <c r="H11" i="17" s="1" a="1"/>
  <c r="H11" i="17" s="1"/>
  <c r="H12" i="17" s="1" a="1"/>
  <c r="H12" i="17" s="1"/>
  <c r="H13" i="17" s="1" a="1"/>
  <c r="H13" i="17" s="1"/>
  <c r="H14" i="17" s="1" a="1"/>
  <c r="H14" i="17" s="1"/>
  <c r="H15" i="17" s="1" a="1"/>
  <c r="H15" i="17" s="1"/>
  <c r="H16" i="17" s="1" a="1"/>
  <c r="H16" i="17" s="1"/>
  <c r="H17" i="17" s="1" a="1"/>
  <c r="H17" i="17" s="1"/>
  <c r="H18" i="17" s="1" a="1"/>
  <c r="H18" i="17" s="1"/>
  <c r="H19" i="17" s="1" a="1"/>
  <c r="H19" i="17" s="1"/>
  <c r="H20" i="17" s="1" a="1"/>
  <c r="H20" i="17" s="1"/>
  <c r="H21" i="17" s="1" a="1"/>
  <c r="H21" i="17" s="1"/>
  <c r="H22" i="17" s="1" a="1"/>
  <c r="H22" i="17" s="1"/>
  <c r="H23" i="17" s="1" a="1"/>
  <c r="H23" i="17" s="1"/>
  <c r="H24" i="17" s="1" a="1"/>
  <c r="H24" i="17" s="1"/>
  <c r="H25" i="17" s="1" a="1"/>
  <c r="H25" i="17" s="1"/>
  <c r="H26" i="17" s="1" a="1"/>
  <c r="H26" i="17" s="1"/>
  <c r="H27" i="17" s="1" a="1"/>
  <c r="H27" i="17" s="1"/>
  <c r="H28" i="17" s="1" a="1"/>
  <c r="H28" i="17" s="1"/>
  <c r="H29" i="17" s="1" a="1"/>
  <c r="H29" i="17" s="1"/>
  <c r="H30" i="17" s="1" a="1"/>
  <c r="H30" i="17" s="1"/>
  <c r="H31" i="17" s="1" a="1"/>
  <c r="H31" i="17" s="1"/>
  <c r="H32" i="17" s="1" a="1"/>
  <c r="H32" i="17" s="1"/>
  <c r="H33" i="17" s="1" a="1"/>
  <c r="H33" i="17" s="1"/>
  <c r="H34" i="17" s="1" a="1"/>
  <c r="H34" i="17" s="1"/>
  <c r="H6" i="16" a="1"/>
  <c r="H6" i="16" s="1"/>
  <c r="H7" i="16" s="1" a="1"/>
  <c r="H7" i="16" s="1"/>
  <c r="H8" i="16" s="1" a="1"/>
  <c r="H8" i="16" s="1"/>
  <c r="H9" i="16" s="1" a="1"/>
  <c r="H9" i="16" s="1"/>
  <c r="H10" i="16" s="1" a="1"/>
  <c r="H10" i="16" s="1"/>
  <c r="H11" i="16" s="1" a="1"/>
  <c r="H11" i="16" s="1"/>
  <c r="H12" i="16" s="1" a="1"/>
  <c r="H12" i="16" s="1"/>
  <c r="H13" i="16" s="1" a="1"/>
  <c r="H13" i="16" s="1"/>
  <c r="H14" i="16" s="1" a="1"/>
  <c r="H14" i="16" s="1"/>
  <c r="H15" i="16" s="1" a="1"/>
  <c r="H15" i="16" s="1"/>
  <c r="H16" i="16" s="1" a="1"/>
  <c r="H16" i="16" s="1"/>
  <c r="H17" i="16" s="1" a="1"/>
  <c r="H17" i="16" s="1"/>
  <c r="H18" i="16" s="1" a="1"/>
  <c r="H18" i="16" s="1"/>
  <c r="H19" i="16" s="1" a="1"/>
  <c r="H19" i="16" s="1"/>
  <c r="H20" i="16" s="1" a="1"/>
  <c r="H20" i="16" s="1"/>
  <c r="H21" i="16" s="1" a="1"/>
  <c r="H21" i="16" s="1"/>
  <c r="H22" i="16" s="1" a="1"/>
  <c r="H22" i="16" s="1"/>
  <c r="H23" i="16" s="1" a="1"/>
  <c r="H23" i="16" s="1"/>
  <c r="H24" i="16" s="1" a="1"/>
  <c r="H24" i="16" s="1"/>
  <c r="H25" i="16" s="1" a="1"/>
  <c r="H25" i="16" s="1"/>
  <c r="H26" i="16" s="1" a="1"/>
  <c r="H26" i="16" s="1"/>
  <c r="H27" i="16" s="1" a="1"/>
  <c r="H27" i="16" s="1"/>
  <c r="H28" i="16" s="1" a="1"/>
  <c r="H28" i="16" s="1"/>
  <c r="H29" i="16" s="1" a="1"/>
  <c r="H29" i="16" s="1"/>
  <c r="H30" i="16" s="1" a="1"/>
  <c r="H30" i="16" s="1"/>
  <c r="H31" i="16" s="1" a="1"/>
  <c r="H31" i="16" s="1"/>
  <c r="H32" i="16" s="1" a="1"/>
  <c r="H32" i="16" s="1"/>
  <c r="H33" i="16" s="1" a="1"/>
  <c r="H33" i="16" s="1"/>
  <c r="H34" i="16" s="1" a="1"/>
  <c r="H34" i="16" s="1"/>
  <c r="H6" i="13" a="1"/>
  <c r="H6" i="13" s="1"/>
  <c r="H7" i="13" s="1" a="1"/>
  <c r="H7" i="13" s="1"/>
  <c r="H8" i="13" s="1" a="1"/>
  <c r="H8" i="13" s="1"/>
  <c r="H9" i="13" s="1" a="1"/>
  <c r="H9" i="13" s="1"/>
  <c r="H10" i="13" s="1" a="1"/>
  <c r="H10" i="13" s="1"/>
  <c r="H11" i="13" s="1" a="1"/>
  <c r="H11" i="13" s="1"/>
  <c r="H12" i="13" s="1" a="1"/>
  <c r="H12" i="13" s="1"/>
  <c r="H13" i="13" s="1" a="1"/>
  <c r="H13" i="13" s="1"/>
  <c r="H14" i="13" s="1" a="1"/>
  <c r="H14" i="13" s="1"/>
  <c r="H15" i="13" s="1" a="1"/>
  <c r="H15" i="13" s="1"/>
  <c r="H16" i="13" s="1" a="1"/>
  <c r="H16" i="13" s="1"/>
  <c r="H17" i="13" s="1" a="1"/>
  <c r="H17" i="13" s="1"/>
  <c r="H18" i="13" s="1" a="1"/>
  <c r="H18" i="13" s="1"/>
  <c r="H19" i="13" s="1" a="1"/>
  <c r="H19" i="13" s="1"/>
  <c r="H20" i="13" s="1" a="1"/>
  <c r="H20" i="13" s="1"/>
  <c r="H21" i="13" s="1" a="1"/>
  <c r="H21" i="13" s="1"/>
  <c r="H22" i="13" s="1" a="1"/>
  <c r="H22" i="13" s="1"/>
  <c r="H23" i="13" s="1" a="1"/>
  <c r="H23" i="13" s="1"/>
  <c r="H24" i="13" s="1" a="1"/>
  <c r="H24" i="13" s="1"/>
  <c r="H25" i="13" s="1" a="1"/>
  <c r="H25" i="13" s="1"/>
  <c r="H26" i="13" s="1" a="1"/>
  <c r="H26" i="13" s="1"/>
  <c r="H27" i="13" s="1" a="1"/>
  <c r="H27" i="13" s="1"/>
  <c r="H28" i="13" s="1" a="1"/>
  <c r="H28" i="13" s="1"/>
  <c r="H29" i="13" s="1" a="1"/>
  <c r="H29" i="13" s="1"/>
  <c r="H30" i="13" s="1" a="1"/>
  <c r="H30" i="13" s="1"/>
  <c r="H31" i="13" s="1" a="1"/>
  <c r="H31" i="13" s="1"/>
  <c r="H32" i="13" s="1" a="1"/>
  <c r="H32" i="13" s="1"/>
  <c r="H33" i="13" s="1" a="1"/>
  <c r="H33" i="13" s="1"/>
  <c r="H34" i="13" s="1" a="1"/>
  <c r="H34" i="13" s="1"/>
  <c r="AV26" i="12"/>
  <c r="AV5" i="12"/>
  <c r="AV19" i="12"/>
  <c r="AV12" i="12"/>
  <c r="P4" i="8"/>
  <c r="P4" i="9"/>
  <c r="F4" i="9"/>
  <c r="S4" i="9"/>
  <c r="C4" i="9"/>
  <c r="L4" i="9"/>
  <c r="B4" i="9"/>
  <c r="U3" i="9"/>
  <c r="S4" i="8"/>
  <c r="C3" i="8"/>
  <c r="E3" i="8" s="1"/>
  <c r="X3" i="8" s="1"/>
  <c r="O4" i="6"/>
  <c r="Q4" i="6" s="1"/>
  <c r="O9" i="22" l="1"/>
  <c r="I9" i="22"/>
  <c r="L10" i="22" s="1"/>
  <c r="R11" i="22" s="1"/>
  <c r="O10" i="20"/>
  <c r="O9" i="21"/>
  <c r="I9" i="21"/>
  <c r="L10" i="21" s="1"/>
  <c r="R11" i="21" s="1"/>
  <c r="F9" i="21"/>
  <c r="I10" i="20"/>
  <c r="L11" i="20" s="1"/>
  <c r="R12" i="20" s="1"/>
  <c r="O10" i="18"/>
  <c r="F10" i="20"/>
  <c r="I10" i="18"/>
  <c r="L11" i="18" s="1"/>
  <c r="R12" i="18" s="1"/>
  <c r="F10" i="18"/>
  <c r="B8" i="22"/>
  <c r="U9" i="22" s="1"/>
  <c r="V8" i="22"/>
  <c r="B8" i="21"/>
  <c r="U9" i="21" s="1"/>
  <c r="V8" i="21"/>
  <c r="V9" i="20"/>
  <c r="B9" i="20"/>
  <c r="U10" i="20" s="1"/>
  <c r="V9" i="18"/>
  <c r="B9" i="18"/>
  <c r="U10" i="18" s="1"/>
  <c r="Q8" i="22"/>
  <c r="P8" i="22"/>
  <c r="T8" i="22"/>
  <c r="S8" i="22"/>
  <c r="N8" i="22"/>
  <c r="M8" i="22"/>
  <c r="E8" i="22"/>
  <c r="D8" i="22"/>
  <c r="H8" i="22"/>
  <c r="G8" i="22"/>
  <c r="Y7" i="22"/>
  <c r="X7" i="22"/>
  <c r="K8" i="22"/>
  <c r="J8" i="22"/>
  <c r="Y7" i="21"/>
  <c r="X7" i="21"/>
  <c r="H8" i="21"/>
  <c r="G8" i="21"/>
  <c r="K8" i="21"/>
  <c r="J8" i="21"/>
  <c r="M8" i="21"/>
  <c r="N8" i="21"/>
  <c r="E8" i="21"/>
  <c r="D8" i="21"/>
  <c r="Q8" i="21"/>
  <c r="P8" i="21"/>
  <c r="T8" i="21"/>
  <c r="S8" i="21"/>
  <c r="H9" i="20"/>
  <c r="G9" i="20"/>
  <c r="X8" i="20"/>
  <c r="Y8" i="20"/>
  <c r="M9" i="20"/>
  <c r="N9" i="20"/>
  <c r="K9" i="20"/>
  <c r="J9" i="20"/>
  <c r="O5" i="9"/>
  <c r="P5" i="9" s="1"/>
  <c r="Q9" i="20"/>
  <c r="P9" i="20"/>
  <c r="T9" i="20"/>
  <c r="S9" i="20"/>
  <c r="D9" i="20"/>
  <c r="E9" i="20"/>
  <c r="Q9" i="18"/>
  <c r="P9" i="18"/>
  <c r="S9" i="18"/>
  <c r="T9" i="18"/>
  <c r="G9" i="18"/>
  <c r="H9" i="18"/>
  <c r="X8" i="18"/>
  <c r="K9" i="18"/>
  <c r="J9" i="18"/>
  <c r="E9" i="18"/>
  <c r="D9" i="18"/>
  <c r="Y8" i="18"/>
  <c r="M9" i="18"/>
  <c r="N9" i="18"/>
  <c r="Q4" i="17" a="1"/>
  <c r="Q4" i="17" s="1"/>
  <c r="AB3" i="17" s="1" a="1"/>
  <c r="AB3" i="17" s="1"/>
  <c r="O4" i="17" a="1"/>
  <c r="O4" i="17" s="1"/>
  <c r="AB2" i="17" s="1" a="1"/>
  <c r="AB2" i="17" s="1"/>
  <c r="Q4" i="16" a="1"/>
  <c r="Q4" i="16" s="1"/>
  <c r="AB3" i="16" s="1" a="1"/>
  <c r="AB3" i="16" s="1"/>
  <c r="O4" i="16" a="1"/>
  <c r="O4" i="16" s="1"/>
  <c r="AB2" i="16" s="1" a="1"/>
  <c r="AB2" i="16" s="1"/>
  <c r="O4" i="13" a="1"/>
  <c r="O4" i="13" s="1"/>
  <c r="AB2" i="13" s="1" a="1"/>
  <c r="AB2" i="13" s="1"/>
  <c r="Q4" i="13" a="1"/>
  <c r="Q4" i="13" s="1"/>
  <c r="AB3" i="13" s="1" a="1"/>
  <c r="AB3" i="13" s="1"/>
  <c r="BC19" i="12" a="1"/>
  <c r="BC5" i="12" a="1"/>
  <c r="BC12" i="12" a="1"/>
  <c r="BC26" i="12" a="1"/>
  <c r="I5" i="9"/>
  <c r="L5" i="9"/>
  <c r="F5" i="9"/>
  <c r="H4" i="9"/>
  <c r="G4" i="9"/>
  <c r="J4" i="9"/>
  <c r="K4" i="9"/>
  <c r="U4" i="9"/>
  <c r="M4" i="9"/>
  <c r="N4" i="9"/>
  <c r="R5" i="9"/>
  <c r="F4" i="8" a="1"/>
  <c r="F4" i="8" s="1"/>
  <c r="I4" i="8" a="1"/>
  <c r="I4" i="8" s="1"/>
  <c r="C5" i="9"/>
  <c r="B5" i="9"/>
  <c r="D4" i="9"/>
  <c r="E4" i="9"/>
  <c r="U3" i="8"/>
  <c r="P4" i="6"/>
  <c r="C4" i="8"/>
  <c r="B4" i="8"/>
  <c r="L4" i="8"/>
  <c r="R5" i="8" s="1"/>
  <c r="F10" i="22" l="1"/>
  <c r="O11" i="20"/>
  <c r="O10" i="22"/>
  <c r="I10" i="22"/>
  <c r="L11" i="22" s="1"/>
  <c r="R12" i="22" s="1"/>
  <c r="O10" i="21"/>
  <c r="I10" i="21"/>
  <c r="L11" i="21" s="1"/>
  <c r="R12" i="21" s="1"/>
  <c r="F10" i="21"/>
  <c r="I11" i="20"/>
  <c r="L12" i="20" s="1"/>
  <c r="R13" i="20" s="1"/>
  <c r="F11" i="20"/>
  <c r="O11" i="18"/>
  <c r="I11" i="18"/>
  <c r="L12" i="18" s="1"/>
  <c r="R13" i="18" s="1"/>
  <c r="F11" i="18"/>
  <c r="B9" i="22"/>
  <c r="U10" i="22" s="1"/>
  <c r="V9" i="22"/>
  <c r="V9" i="21"/>
  <c r="B9" i="21"/>
  <c r="U10" i="21" s="1"/>
  <c r="V10" i="20"/>
  <c r="B10" i="18"/>
  <c r="U11" i="18" s="1"/>
  <c r="B10" i="20"/>
  <c r="U11" i="20" s="1"/>
  <c r="V10" i="18"/>
  <c r="F11" i="22"/>
  <c r="Y8" i="22"/>
  <c r="K9" i="22"/>
  <c r="J9" i="22"/>
  <c r="H9" i="22"/>
  <c r="G9" i="22"/>
  <c r="M9" i="22"/>
  <c r="N9" i="22"/>
  <c r="Q9" i="22"/>
  <c r="P9" i="22"/>
  <c r="T9" i="22"/>
  <c r="S9" i="22"/>
  <c r="E9" i="22"/>
  <c r="D9" i="22"/>
  <c r="X8" i="22"/>
  <c r="M9" i="21"/>
  <c r="N9" i="21"/>
  <c r="E9" i="21"/>
  <c r="D9" i="21"/>
  <c r="T9" i="21"/>
  <c r="S9" i="21"/>
  <c r="X8" i="21"/>
  <c r="P9" i="21"/>
  <c r="Q9" i="21"/>
  <c r="Y8" i="21"/>
  <c r="H9" i="21"/>
  <c r="G9" i="21"/>
  <c r="K9" i="21"/>
  <c r="J9" i="21"/>
  <c r="Y9" i="20"/>
  <c r="X9" i="20"/>
  <c r="K10" i="20"/>
  <c r="J10" i="20"/>
  <c r="G10" i="20"/>
  <c r="H10" i="20"/>
  <c r="N10" i="20"/>
  <c r="M10" i="20"/>
  <c r="S10" i="20"/>
  <c r="T10" i="20"/>
  <c r="E10" i="20"/>
  <c r="D10" i="20"/>
  <c r="Q10" i="20"/>
  <c r="P10" i="20"/>
  <c r="D10" i="18"/>
  <c r="E10" i="18"/>
  <c r="T10" i="18"/>
  <c r="S10" i="18"/>
  <c r="X9" i="18"/>
  <c r="Q10" i="18"/>
  <c r="P10" i="18"/>
  <c r="Y9" i="18"/>
  <c r="G10" i="18"/>
  <c r="H10" i="18"/>
  <c r="K10" i="18"/>
  <c r="J10" i="18"/>
  <c r="N10" i="18"/>
  <c r="M10" i="18"/>
  <c r="I6" i="9"/>
  <c r="O6" i="9"/>
  <c r="P6" i="9" s="1"/>
  <c r="O4" i="15" a="1"/>
  <c r="O4" i="15" s="1"/>
  <c r="AB2" i="15" s="1" a="1"/>
  <c r="AB2" i="15" s="1"/>
  <c r="Q4" i="15" a="1"/>
  <c r="Q4" i="15" s="1"/>
  <c r="AB3" i="15" s="1" a="1"/>
  <c r="AB3" i="15" s="1"/>
  <c r="Y12" i="12"/>
  <c r="W17" i="12"/>
  <c r="Y13" i="12"/>
  <c r="W12" i="12"/>
  <c r="V15" i="12"/>
  <c r="W14" i="12"/>
  <c r="U15" i="12"/>
  <c r="U12" i="12"/>
  <c r="T16" i="12"/>
  <c r="X15" i="12"/>
  <c r="T13" i="12"/>
  <c r="U17" i="12"/>
  <c r="V13" i="12"/>
  <c r="W16" i="12"/>
  <c r="V16" i="12"/>
  <c r="U16" i="12"/>
  <c r="Y14" i="12"/>
  <c r="Y16" i="12"/>
  <c r="Y15" i="12"/>
  <c r="V14" i="12"/>
  <c r="V17" i="12"/>
  <c r="U14" i="12"/>
  <c r="T17" i="12"/>
  <c r="T14" i="12"/>
  <c r="X17" i="12"/>
  <c r="U13" i="12"/>
  <c r="Y17" i="12"/>
  <c r="T15" i="12"/>
  <c r="V12" i="12"/>
  <c r="X14" i="12"/>
  <c r="X12" i="12"/>
  <c r="W15" i="12"/>
  <c r="W13" i="12"/>
  <c r="X13" i="12"/>
  <c r="X16" i="12"/>
  <c r="Y5" i="12"/>
  <c r="V8" i="12"/>
  <c r="W8" i="12"/>
  <c r="X8" i="12"/>
  <c r="T9" i="12"/>
  <c r="U5" i="12"/>
  <c r="W9" i="12"/>
  <c r="V10" i="12"/>
  <c r="X6" i="12"/>
  <c r="T10" i="12"/>
  <c r="W10" i="12"/>
  <c r="Y10" i="12"/>
  <c r="V5" i="12"/>
  <c r="V6" i="12"/>
  <c r="T7" i="12"/>
  <c r="W6" i="12"/>
  <c r="U9" i="12"/>
  <c r="W7" i="12"/>
  <c r="X7" i="12"/>
  <c r="V7" i="12"/>
  <c r="U8" i="12"/>
  <c r="X10" i="12"/>
  <c r="Y9" i="12"/>
  <c r="Y8" i="12"/>
  <c r="X9" i="12"/>
  <c r="V9" i="12"/>
  <c r="T6" i="12"/>
  <c r="X5" i="12"/>
  <c r="U7" i="12"/>
  <c r="Y6" i="12"/>
  <c r="U6" i="12"/>
  <c r="Y7" i="12"/>
  <c r="W5" i="12"/>
  <c r="U10" i="12"/>
  <c r="T8" i="12"/>
  <c r="V30" i="12"/>
  <c r="V26" i="12"/>
  <c r="U29" i="12"/>
  <c r="X26" i="12"/>
  <c r="T29" i="12"/>
  <c r="Y29" i="12"/>
  <c r="X31" i="12"/>
  <c r="T30" i="12"/>
  <c r="X28" i="12"/>
  <c r="U30" i="12"/>
  <c r="T31" i="12"/>
  <c r="X27" i="12"/>
  <c r="T27" i="12"/>
  <c r="W31" i="12"/>
  <c r="V31" i="12"/>
  <c r="Y31" i="12"/>
  <c r="Y28" i="12"/>
  <c r="T28" i="12"/>
  <c r="Y27" i="12"/>
  <c r="U31" i="12"/>
  <c r="V29" i="12"/>
  <c r="Y26" i="12"/>
  <c r="V27" i="12"/>
  <c r="X29" i="12"/>
  <c r="X30" i="12"/>
  <c r="W26" i="12"/>
  <c r="U28" i="12"/>
  <c r="U26" i="12"/>
  <c r="W28" i="12"/>
  <c r="W30" i="12"/>
  <c r="V28" i="12"/>
  <c r="W27" i="12"/>
  <c r="Y30" i="12"/>
  <c r="W29" i="12"/>
  <c r="U27" i="12"/>
  <c r="T24" i="12"/>
  <c r="Y19" i="12"/>
  <c r="V20" i="12"/>
  <c r="T22" i="12"/>
  <c r="Y23" i="12"/>
  <c r="X20" i="12"/>
  <c r="T20" i="12"/>
  <c r="W19" i="12"/>
  <c r="X21" i="12"/>
  <c r="Y20" i="12"/>
  <c r="W20" i="12"/>
  <c r="V19" i="12"/>
  <c r="T23" i="12"/>
  <c r="Y21" i="12"/>
  <c r="Y24" i="12"/>
  <c r="V23" i="12"/>
  <c r="X24" i="12"/>
  <c r="U24" i="12"/>
  <c r="X22" i="12"/>
  <c r="V24" i="12"/>
  <c r="W24" i="12"/>
  <c r="T21" i="12"/>
  <c r="U23" i="12"/>
  <c r="X19" i="12"/>
  <c r="U21" i="12"/>
  <c r="V22" i="12"/>
  <c r="U22" i="12"/>
  <c r="U19" i="12"/>
  <c r="V21" i="12"/>
  <c r="X23" i="12"/>
  <c r="Y22" i="12"/>
  <c r="W23" i="12"/>
  <c r="W22" i="12"/>
  <c r="U20" i="12"/>
  <c r="W21" i="12"/>
  <c r="BC26" i="12"/>
  <c r="T26" i="12" s="1"/>
  <c r="BC5" i="12"/>
  <c r="T5" i="12" s="1"/>
  <c r="BC12" i="12"/>
  <c r="T12" i="12" s="1"/>
  <c r="BC19" i="12"/>
  <c r="T19" i="12" s="1"/>
  <c r="X4" i="9"/>
  <c r="F6" i="9"/>
  <c r="L6" i="9"/>
  <c r="O5" i="8"/>
  <c r="P5" i="8" s="1"/>
  <c r="T5" i="9"/>
  <c r="U5" i="9"/>
  <c r="S5" i="9"/>
  <c r="H5" i="9"/>
  <c r="G5" i="9"/>
  <c r="Q5" i="9"/>
  <c r="L5" i="8"/>
  <c r="F5" i="8" a="1"/>
  <c r="F5" i="8" s="1"/>
  <c r="I5" i="8" a="1"/>
  <c r="I5" i="8" s="1"/>
  <c r="C6" i="9"/>
  <c r="B6" i="9"/>
  <c r="E5" i="9"/>
  <c r="D5" i="9"/>
  <c r="K5" i="9"/>
  <c r="J5" i="9"/>
  <c r="W4" i="9"/>
  <c r="M5" i="9"/>
  <c r="N5" i="9"/>
  <c r="R6" i="9"/>
  <c r="K4" i="8"/>
  <c r="J4" i="8"/>
  <c r="N4" i="8"/>
  <c r="M4" i="8"/>
  <c r="H4" i="8"/>
  <c r="G4" i="8"/>
  <c r="C5" i="8"/>
  <c r="B5" i="8"/>
  <c r="E4" i="8"/>
  <c r="D4" i="8"/>
  <c r="U4" i="8"/>
  <c r="O11" i="22" l="1"/>
  <c r="I11" i="22"/>
  <c r="L12" i="22" s="1"/>
  <c r="R13" i="22" s="1"/>
  <c r="O11" i="21"/>
  <c r="I11" i="21"/>
  <c r="L12" i="21" s="1"/>
  <c r="R13" i="21" s="1"/>
  <c r="F11" i="21"/>
  <c r="O12" i="20"/>
  <c r="O12" i="18"/>
  <c r="I12" i="20"/>
  <c r="L13" i="20" s="1"/>
  <c r="R14" i="20" s="1"/>
  <c r="F12" i="20"/>
  <c r="I12" i="18"/>
  <c r="L13" i="18" s="1"/>
  <c r="R14" i="18" s="1"/>
  <c r="F12" i="18"/>
  <c r="V10" i="22"/>
  <c r="B10" i="22"/>
  <c r="U11" i="22" s="1"/>
  <c r="V10" i="21"/>
  <c r="B10" i="21"/>
  <c r="U11" i="21" s="1"/>
  <c r="B11" i="20"/>
  <c r="U12" i="20" s="1"/>
  <c r="V11" i="20"/>
  <c r="V11" i="18"/>
  <c r="B11" i="18"/>
  <c r="U12" i="18" s="1"/>
  <c r="F12" i="22"/>
  <c r="X9" i="22"/>
  <c r="H10" i="22"/>
  <c r="G10" i="22"/>
  <c r="T10" i="22"/>
  <c r="S10" i="22"/>
  <c r="Y9" i="22"/>
  <c r="N10" i="22"/>
  <c r="M10" i="22"/>
  <c r="K10" i="22"/>
  <c r="J10" i="22"/>
  <c r="Q10" i="22"/>
  <c r="P10" i="22"/>
  <c r="E10" i="22"/>
  <c r="D10" i="22"/>
  <c r="X9" i="21"/>
  <c r="Q10" i="21"/>
  <c r="P10" i="21"/>
  <c r="Y9" i="21"/>
  <c r="H10" i="21"/>
  <c r="G10" i="21"/>
  <c r="K10" i="21"/>
  <c r="J10" i="21"/>
  <c r="M10" i="21"/>
  <c r="N10" i="21"/>
  <c r="E10" i="21"/>
  <c r="D10" i="21"/>
  <c r="T10" i="21"/>
  <c r="S10" i="21"/>
  <c r="T11" i="20"/>
  <c r="S11" i="20"/>
  <c r="X10" i="20"/>
  <c r="H11" i="20"/>
  <c r="G11" i="20"/>
  <c r="Y10" i="20"/>
  <c r="K11" i="20"/>
  <c r="J11" i="20"/>
  <c r="Q11" i="20"/>
  <c r="P11" i="20"/>
  <c r="N11" i="20"/>
  <c r="M11" i="20"/>
  <c r="E11" i="20"/>
  <c r="D11" i="20"/>
  <c r="O7" i="9"/>
  <c r="P7" i="9" s="1"/>
  <c r="T11" i="18"/>
  <c r="S11" i="18"/>
  <c r="Y10" i="18"/>
  <c r="G11" i="18"/>
  <c r="H11" i="18"/>
  <c r="K11" i="18"/>
  <c r="J11" i="18"/>
  <c r="X10" i="18"/>
  <c r="Q11" i="18"/>
  <c r="P11" i="18"/>
  <c r="N11" i="18"/>
  <c r="M11" i="18"/>
  <c r="E11" i="18"/>
  <c r="D11" i="18"/>
  <c r="L7" i="9"/>
  <c r="F7" i="9"/>
  <c r="I6" i="8" a="1"/>
  <c r="I6" i="8" s="1"/>
  <c r="I7" i="9"/>
  <c r="K6" i="9"/>
  <c r="J6" i="9"/>
  <c r="L6" i="8"/>
  <c r="R6" i="8"/>
  <c r="X5" i="9"/>
  <c r="H6" i="9"/>
  <c r="G6" i="9"/>
  <c r="M6" i="9"/>
  <c r="R7" i="9"/>
  <c r="N6" i="9"/>
  <c r="S6" i="9"/>
  <c r="T6" i="9"/>
  <c r="U6" i="9"/>
  <c r="C7" i="9"/>
  <c r="B7" i="9"/>
  <c r="D6" i="9"/>
  <c r="E6" i="9"/>
  <c r="F6" i="8" a="1"/>
  <c r="F6" i="8" s="1"/>
  <c r="W5" i="9"/>
  <c r="Q6" i="9"/>
  <c r="O6" i="8"/>
  <c r="P6" i="8" s="1"/>
  <c r="Q5" i="8"/>
  <c r="N5" i="8"/>
  <c r="M5" i="8"/>
  <c r="E5" i="8"/>
  <c r="D5" i="8"/>
  <c r="C6" i="8"/>
  <c r="B6" i="8"/>
  <c r="T5" i="8"/>
  <c r="U5" i="8"/>
  <c r="S5" i="8"/>
  <c r="W4" i="8"/>
  <c r="K5" i="8"/>
  <c r="J5" i="8"/>
  <c r="H5" i="8"/>
  <c r="G5" i="8"/>
  <c r="X4" i="8"/>
  <c r="O12" i="22" l="1"/>
  <c r="I12" i="22"/>
  <c r="L13" i="22" s="1"/>
  <c r="R14" i="22" s="1"/>
  <c r="O12" i="21"/>
  <c r="F12" i="21"/>
  <c r="I12" i="21"/>
  <c r="L13" i="21" s="1"/>
  <c r="R14" i="21" s="1"/>
  <c r="O13" i="20"/>
  <c r="I13" i="20"/>
  <c r="L14" i="20" s="1"/>
  <c r="R15" i="20" s="1"/>
  <c r="O13" i="18"/>
  <c r="F13" i="20"/>
  <c r="I13" i="18"/>
  <c r="L14" i="18" s="1"/>
  <c r="R15" i="18" s="1"/>
  <c r="F13" i="18"/>
  <c r="V11" i="22"/>
  <c r="B11" i="22"/>
  <c r="U12" i="22" s="1"/>
  <c r="V11" i="21"/>
  <c r="B11" i="21"/>
  <c r="U12" i="21" s="1"/>
  <c r="B12" i="20"/>
  <c r="U13" i="20" s="1"/>
  <c r="V12" i="20"/>
  <c r="V12" i="18"/>
  <c r="B12" i="18"/>
  <c r="U13" i="18" s="1"/>
  <c r="X10" i="22"/>
  <c r="Y10" i="22"/>
  <c r="T11" i="22"/>
  <c r="S11" i="22"/>
  <c r="H11" i="22"/>
  <c r="G11" i="22"/>
  <c r="K11" i="22"/>
  <c r="J11" i="22"/>
  <c r="N11" i="22"/>
  <c r="M11" i="22"/>
  <c r="E11" i="22"/>
  <c r="D11" i="22"/>
  <c r="Q11" i="22"/>
  <c r="P11" i="22"/>
  <c r="T11" i="21"/>
  <c r="S11" i="21"/>
  <c r="X10" i="21"/>
  <c r="Q11" i="21"/>
  <c r="P11" i="21"/>
  <c r="Y10" i="21"/>
  <c r="H11" i="21"/>
  <c r="G11" i="21"/>
  <c r="K11" i="21"/>
  <c r="J11" i="21"/>
  <c r="M11" i="21"/>
  <c r="N11" i="21"/>
  <c r="E11" i="21"/>
  <c r="D11" i="21"/>
  <c r="E12" i="20"/>
  <c r="D12" i="20"/>
  <c r="N12" i="20"/>
  <c r="M12" i="20"/>
  <c r="X11" i="20"/>
  <c r="G12" i="20"/>
  <c r="H12" i="20"/>
  <c r="Q12" i="20"/>
  <c r="P12" i="20"/>
  <c r="Y11" i="20"/>
  <c r="K12" i="20"/>
  <c r="J12" i="20"/>
  <c r="S12" i="20"/>
  <c r="T12" i="20"/>
  <c r="M12" i="18"/>
  <c r="N12" i="18"/>
  <c r="X11" i="18"/>
  <c r="K12" i="18"/>
  <c r="J12" i="18"/>
  <c r="G12" i="18"/>
  <c r="H12" i="18"/>
  <c r="P12" i="18"/>
  <c r="Q12" i="18"/>
  <c r="Y11" i="18"/>
  <c r="D12" i="18"/>
  <c r="E12" i="18"/>
  <c r="S12" i="18"/>
  <c r="T12" i="18"/>
  <c r="O8" i="9"/>
  <c r="P8" i="9" s="1"/>
  <c r="I7" i="8" a="1"/>
  <c r="I7" i="8" s="1"/>
  <c r="R7" i="8"/>
  <c r="O7" i="8"/>
  <c r="P7" i="8" s="1"/>
  <c r="F8" i="9"/>
  <c r="I8" i="9"/>
  <c r="L8" i="9"/>
  <c r="W6" i="9"/>
  <c r="L7" i="8"/>
  <c r="T7" i="9"/>
  <c r="S7" i="9"/>
  <c r="U7" i="9"/>
  <c r="X6" i="9"/>
  <c r="H7" i="9"/>
  <c r="G7" i="9"/>
  <c r="Q7" i="9"/>
  <c r="K7" i="9"/>
  <c r="J7" i="9"/>
  <c r="M7" i="9"/>
  <c r="R8" i="9"/>
  <c r="N7" i="9"/>
  <c r="C8" i="9"/>
  <c r="B8" i="9"/>
  <c r="E7" i="9"/>
  <c r="D7" i="9"/>
  <c r="F7" i="8" a="1"/>
  <c r="F7" i="8" s="1"/>
  <c r="J6" i="8"/>
  <c r="K6" i="8"/>
  <c r="D6" i="8"/>
  <c r="E6" i="8"/>
  <c r="C7" i="8"/>
  <c r="B7" i="8"/>
  <c r="W5" i="8"/>
  <c r="G6" i="8"/>
  <c r="H6" i="8"/>
  <c r="X5" i="8"/>
  <c r="N6" i="8"/>
  <c r="M6" i="8"/>
  <c r="Q6" i="8"/>
  <c r="S6" i="8"/>
  <c r="T6" i="8"/>
  <c r="U6" i="8"/>
  <c r="F13" i="22" l="1"/>
  <c r="I13" i="22"/>
  <c r="L14" i="22" s="1"/>
  <c r="R15" i="22" s="1"/>
  <c r="O13" i="22"/>
  <c r="O13" i="21"/>
  <c r="I13" i="21"/>
  <c r="L14" i="21" s="1"/>
  <c r="R15" i="21" s="1"/>
  <c r="F13" i="21"/>
  <c r="O14" i="20"/>
  <c r="I14" i="20"/>
  <c r="L15" i="20" s="1"/>
  <c r="R16" i="20" s="1"/>
  <c r="F14" i="20"/>
  <c r="O14" i="18"/>
  <c r="I14" i="18"/>
  <c r="L15" i="18" s="1"/>
  <c r="R16" i="18" s="1"/>
  <c r="F14" i="18"/>
  <c r="V12" i="22"/>
  <c r="B12" i="22"/>
  <c r="U13" i="22" s="1"/>
  <c r="V12" i="21"/>
  <c r="B12" i="21"/>
  <c r="U13" i="21" s="1"/>
  <c r="V13" i="20"/>
  <c r="B13" i="20"/>
  <c r="U14" i="20" s="1"/>
  <c r="V13" i="18"/>
  <c r="B13" i="18"/>
  <c r="U14" i="18" s="1"/>
  <c r="Y11" i="22"/>
  <c r="S12" i="22"/>
  <c r="T12" i="22"/>
  <c r="K12" i="22"/>
  <c r="J12" i="22"/>
  <c r="N12" i="22"/>
  <c r="M12" i="22"/>
  <c r="Q12" i="22"/>
  <c r="P12" i="22"/>
  <c r="E12" i="22"/>
  <c r="D12" i="22"/>
  <c r="X11" i="22"/>
  <c r="G12" i="22"/>
  <c r="H12" i="22"/>
  <c r="X11" i="21"/>
  <c r="Y11" i="21"/>
  <c r="Q12" i="21"/>
  <c r="P12" i="21"/>
  <c r="H12" i="21"/>
  <c r="G12" i="21"/>
  <c r="K12" i="21"/>
  <c r="J12" i="21"/>
  <c r="M12" i="21"/>
  <c r="N12" i="21"/>
  <c r="E12" i="21"/>
  <c r="D12" i="21"/>
  <c r="T12" i="21"/>
  <c r="S12" i="21"/>
  <c r="T13" i="20"/>
  <c r="S13" i="20"/>
  <c r="N13" i="20"/>
  <c r="M13" i="20"/>
  <c r="E13" i="20"/>
  <c r="D13" i="20"/>
  <c r="X12" i="20"/>
  <c r="H13" i="20"/>
  <c r="G13" i="20"/>
  <c r="Y12" i="20"/>
  <c r="Q13" i="20"/>
  <c r="P13" i="20"/>
  <c r="K13" i="20"/>
  <c r="J13" i="20"/>
  <c r="P13" i="18"/>
  <c r="Q13" i="18"/>
  <c r="N13" i="18"/>
  <c r="M13" i="18"/>
  <c r="E13" i="18"/>
  <c r="D13" i="18"/>
  <c r="H13" i="18"/>
  <c r="G13" i="18"/>
  <c r="Y12" i="18"/>
  <c r="X12" i="18"/>
  <c r="K13" i="18"/>
  <c r="J13" i="18"/>
  <c r="T13" i="18"/>
  <c r="S13" i="18"/>
  <c r="O8" i="8"/>
  <c r="P8" i="8" s="1"/>
  <c r="R8" i="8"/>
  <c r="F9" i="9"/>
  <c r="L8" i="8"/>
  <c r="L9" i="9"/>
  <c r="O9" i="9"/>
  <c r="P9" i="9" s="1"/>
  <c r="I9" i="9"/>
  <c r="X7" i="9"/>
  <c r="K8" i="9"/>
  <c r="J8" i="9"/>
  <c r="C9" i="9"/>
  <c r="B9" i="9"/>
  <c r="E8" i="9"/>
  <c r="D8" i="9"/>
  <c r="H8" i="9"/>
  <c r="G8" i="9"/>
  <c r="T8" i="9"/>
  <c r="U8" i="9"/>
  <c r="S8" i="9"/>
  <c r="M8" i="9"/>
  <c r="R9" i="9"/>
  <c r="N8" i="9"/>
  <c r="Q8" i="9"/>
  <c r="W7" i="9"/>
  <c r="I8" i="8" a="1"/>
  <c r="I8" i="8" s="1"/>
  <c r="F8" i="8" a="1"/>
  <c r="F8" i="8" s="1"/>
  <c r="X6" i="8"/>
  <c r="W6" i="8"/>
  <c r="K7" i="8"/>
  <c r="J7" i="8"/>
  <c r="N7" i="8"/>
  <c r="M7" i="8"/>
  <c r="E7" i="8"/>
  <c r="D7" i="8"/>
  <c r="B8" i="8"/>
  <c r="C8" i="8"/>
  <c r="H7" i="8"/>
  <c r="G7" i="8"/>
  <c r="U7" i="8"/>
  <c r="T7" i="8"/>
  <c r="S7" i="8"/>
  <c r="Q7" i="8"/>
  <c r="F14" i="22" l="1"/>
  <c r="O14" i="22"/>
  <c r="I14" i="22"/>
  <c r="L15" i="22" s="1"/>
  <c r="R16" i="22" s="1"/>
  <c r="O14" i="21"/>
  <c r="I14" i="21"/>
  <c r="L15" i="21" s="1"/>
  <c r="R16" i="21" s="1"/>
  <c r="F14" i="21"/>
  <c r="O15" i="20"/>
  <c r="I15" i="20"/>
  <c r="L16" i="20" s="1"/>
  <c r="R17" i="20" s="1"/>
  <c r="F15" i="20"/>
  <c r="O15" i="18"/>
  <c r="I15" i="18"/>
  <c r="L16" i="18" s="1"/>
  <c r="R17" i="18" s="1"/>
  <c r="F15" i="18"/>
  <c r="V13" i="22"/>
  <c r="B13" i="22"/>
  <c r="U14" i="22" s="1"/>
  <c r="V13" i="21"/>
  <c r="B13" i="21"/>
  <c r="U14" i="21" s="1"/>
  <c r="V14" i="20"/>
  <c r="B14" i="18"/>
  <c r="U15" i="18" s="1"/>
  <c r="B14" i="20"/>
  <c r="U15" i="20" s="1"/>
  <c r="V14" i="18"/>
  <c r="F15" i="22"/>
  <c r="Y12" i="22"/>
  <c r="K13" i="22"/>
  <c r="J13" i="22"/>
  <c r="Q13" i="22"/>
  <c r="P13" i="22"/>
  <c r="T13" i="22"/>
  <c r="S13" i="22"/>
  <c r="N13" i="22"/>
  <c r="M13" i="22"/>
  <c r="E13" i="22"/>
  <c r="D13" i="22"/>
  <c r="X12" i="22"/>
  <c r="H13" i="22"/>
  <c r="G13" i="22"/>
  <c r="X12" i="21"/>
  <c r="P13" i="21"/>
  <c r="Q13" i="21"/>
  <c r="Y12" i="21"/>
  <c r="H13" i="21"/>
  <c r="G13" i="21"/>
  <c r="K13" i="21"/>
  <c r="J13" i="21"/>
  <c r="T13" i="21"/>
  <c r="S13" i="21"/>
  <c r="M13" i="21"/>
  <c r="N13" i="21"/>
  <c r="E13" i="21"/>
  <c r="D13" i="21"/>
  <c r="Y13" i="20"/>
  <c r="E14" i="20"/>
  <c r="D14" i="20"/>
  <c r="X13" i="20"/>
  <c r="H14" i="20"/>
  <c r="G14" i="20"/>
  <c r="K14" i="20"/>
  <c r="J14" i="20"/>
  <c r="Q14" i="20"/>
  <c r="P14" i="20"/>
  <c r="T14" i="20"/>
  <c r="S14" i="20"/>
  <c r="N14" i="20"/>
  <c r="M14" i="20"/>
  <c r="X13" i="18"/>
  <c r="E14" i="18"/>
  <c r="D14" i="18"/>
  <c r="Y13" i="18"/>
  <c r="H14" i="18"/>
  <c r="G14" i="18"/>
  <c r="N14" i="18"/>
  <c r="M14" i="18"/>
  <c r="K14" i="18"/>
  <c r="J14" i="18"/>
  <c r="T14" i="18"/>
  <c r="S14" i="18"/>
  <c r="Q14" i="18"/>
  <c r="P14" i="18"/>
  <c r="L9" i="8"/>
  <c r="R9" i="8"/>
  <c r="F10" i="9"/>
  <c r="O9" i="8"/>
  <c r="P9" i="8" s="1"/>
  <c r="I10" i="9"/>
  <c r="L10" i="9"/>
  <c r="O10" i="9"/>
  <c r="W8" i="9"/>
  <c r="X8" i="9"/>
  <c r="H9" i="9"/>
  <c r="G9" i="9"/>
  <c r="K9" i="9"/>
  <c r="J9" i="9"/>
  <c r="M9" i="9"/>
  <c r="R10" i="9"/>
  <c r="N9" i="9"/>
  <c r="C10" i="9"/>
  <c r="B10" i="9"/>
  <c r="E9" i="9"/>
  <c r="D9" i="9"/>
  <c r="T9" i="9"/>
  <c r="S9" i="9"/>
  <c r="U9" i="9"/>
  <c r="Q9" i="9"/>
  <c r="I9" i="8" a="1"/>
  <c r="I9" i="8" s="1"/>
  <c r="F9" i="8" a="1"/>
  <c r="F9" i="8" s="1"/>
  <c r="T8" i="8"/>
  <c r="U8" i="8"/>
  <c r="S8" i="8"/>
  <c r="X7" i="8"/>
  <c r="Q8" i="8"/>
  <c r="H8" i="8"/>
  <c r="G8" i="8"/>
  <c r="N8" i="8"/>
  <c r="M8" i="8"/>
  <c r="K8" i="8"/>
  <c r="J8" i="8"/>
  <c r="E8" i="8"/>
  <c r="D8" i="8"/>
  <c r="B9" i="8"/>
  <c r="C9" i="8"/>
  <c r="W7" i="8"/>
  <c r="O15" i="22" l="1"/>
  <c r="I15" i="22"/>
  <c r="L16" i="22" s="1"/>
  <c r="R17" i="22" s="1"/>
  <c r="O15" i="21"/>
  <c r="O16" i="20"/>
  <c r="I15" i="21"/>
  <c r="L16" i="21" s="1"/>
  <c r="R17" i="21" s="1"/>
  <c r="F15" i="21"/>
  <c r="I16" i="20"/>
  <c r="L17" i="20" s="1"/>
  <c r="R18" i="20" s="1"/>
  <c r="F16" i="20"/>
  <c r="O16" i="18"/>
  <c r="I16" i="18"/>
  <c r="L17" i="18" s="1"/>
  <c r="R18" i="18" s="1"/>
  <c r="F16" i="18"/>
  <c r="V14" i="22"/>
  <c r="B14" i="22"/>
  <c r="U15" i="22" s="1"/>
  <c r="V14" i="21"/>
  <c r="B14" i="21"/>
  <c r="U15" i="21" s="1"/>
  <c r="V15" i="20"/>
  <c r="B15" i="20"/>
  <c r="U16" i="20" s="1"/>
  <c r="B15" i="18"/>
  <c r="U16" i="18" s="1"/>
  <c r="V15" i="18"/>
  <c r="F16" i="22"/>
  <c r="Y13" i="22"/>
  <c r="K14" i="22"/>
  <c r="J14" i="22"/>
  <c r="Q14" i="22"/>
  <c r="P14" i="22"/>
  <c r="T14" i="22"/>
  <c r="S14" i="22"/>
  <c r="N14" i="22"/>
  <c r="M14" i="22"/>
  <c r="E14" i="22"/>
  <c r="D14" i="22"/>
  <c r="X13" i="22"/>
  <c r="H14" i="22"/>
  <c r="G14" i="22"/>
  <c r="Y13" i="21"/>
  <c r="X13" i="21"/>
  <c r="H14" i="21"/>
  <c r="G14" i="21"/>
  <c r="K14" i="21"/>
  <c r="J14" i="21"/>
  <c r="Q14" i="21"/>
  <c r="P14" i="21"/>
  <c r="M14" i="21"/>
  <c r="N14" i="21"/>
  <c r="E14" i="21"/>
  <c r="D14" i="21"/>
  <c r="T14" i="21"/>
  <c r="S14" i="21"/>
  <c r="T15" i="20"/>
  <c r="S15" i="20"/>
  <c r="E15" i="20"/>
  <c r="D15" i="20"/>
  <c r="X14" i="20"/>
  <c r="H15" i="20"/>
  <c r="G15" i="20"/>
  <c r="Q15" i="20"/>
  <c r="P15" i="20"/>
  <c r="Y14" i="20"/>
  <c r="K15" i="20"/>
  <c r="J15" i="20"/>
  <c r="M15" i="20"/>
  <c r="N15" i="20"/>
  <c r="P15" i="18"/>
  <c r="Q15" i="18"/>
  <c r="E15" i="18"/>
  <c r="D15" i="18"/>
  <c r="X14" i="18"/>
  <c r="K15" i="18"/>
  <c r="J15" i="18"/>
  <c r="G15" i="18"/>
  <c r="H15" i="18"/>
  <c r="S15" i="18"/>
  <c r="T15" i="18"/>
  <c r="Y14" i="18"/>
  <c r="M15" i="18"/>
  <c r="N15" i="18"/>
  <c r="L10" i="8"/>
  <c r="R10" i="8"/>
  <c r="I11" i="9"/>
  <c r="O11" i="9"/>
  <c r="P11" i="9" s="1"/>
  <c r="P10" i="9"/>
  <c r="L11" i="9"/>
  <c r="F11" i="9"/>
  <c r="T10" i="9"/>
  <c r="U10" i="9"/>
  <c r="S10" i="9"/>
  <c r="W9" i="9"/>
  <c r="Q10" i="9"/>
  <c r="C11" i="9"/>
  <c r="B11" i="9"/>
  <c r="E10" i="9"/>
  <c r="D10" i="9"/>
  <c r="H10" i="9"/>
  <c r="G10" i="9"/>
  <c r="X9" i="9"/>
  <c r="K10" i="9"/>
  <c r="J10" i="9"/>
  <c r="M10" i="9"/>
  <c r="R11" i="9"/>
  <c r="N10" i="9"/>
  <c r="O10" i="8"/>
  <c r="P10" i="8" s="1"/>
  <c r="I10" i="8" a="1"/>
  <c r="I10" i="8" s="1"/>
  <c r="F10" i="8" a="1"/>
  <c r="F10" i="8" s="1"/>
  <c r="C10" i="8"/>
  <c r="B10" i="8"/>
  <c r="E9" i="8"/>
  <c r="D9" i="8"/>
  <c r="W8" i="8"/>
  <c r="U9" i="8"/>
  <c r="T9" i="8"/>
  <c r="S9" i="8"/>
  <c r="Q9" i="8"/>
  <c r="X8" i="8"/>
  <c r="M9" i="8"/>
  <c r="N9" i="8"/>
  <c r="H9" i="8"/>
  <c r="G9" i="8"/>
  <c r="K9" i="8"/>
  <c r="J9" i="8"/>
  <c r="O16" i="22" l="1"/>
  <c r="I16" i="22"/>
  <c r="L17" i="22" s="1"/>
  <c r="R18" i="22" s="1"/>
  <c r="O16" i="21"/>
  <c r="I16" i="21"/>
  <c r="F16" i="21"/>
  <c r="O17" i="20"/>
  <c r="O17" i="18"/>
  <c r="I17" i="20"/>
  <c r="L18" i="20" s="1"/>
  <c r="R19" i="20" s="1"/>
  <c r="F17" i="20"/>
  <c r="I17" i="18"/>
  <c r="L18" i="18" s="1"/>
  <c r="R19" i="18" s="1"/>
  <c r="F17" i="18"/>
  <c r="V15" i="22"/>
  <c r="B15" i="22"/>
  <c r="U16" i="22" s="1"/>
  <c r="V15" i="21"/>
  <c r="B15" i="21"/>
  <c r="U16" i="21" s="1"/>
  <c r="V16" i="20"/>
  <c r="B16" i="20"/>
  <c r="U17" i="20" s="1"/>
  <c r="V16" i="18"/>
  <c r="B16" i="18"/>
  <c r="U17" i="18" s="1"/>
  <c r="K15" i="22"/>
  <c r="J15" i="22"/>
  <c r="M15" i="22"/>
  <c r="N15" i="22"/>
  <c r="Q15" i="22"/>
  <c r="P15" i="22"/>
  <c r="T15" i="22"/>
  <c r="S15" i="22"/>
  <c r="E15" i="22"/>
  <c r="D15" i="22"/>
  <c r="X14" i="22"/>
  <c r="H15" i="22"/>
  <c r="G15" i="22"/>
  <c r="Y14" i="22"/>
  <c r="E15" i="21"/>
  <c r="D15" i="21"/>
  <c r="T15" i="21"/>
  <c r="S15" i="21"/>
  <c r="X14" i="21"/>
  <c r="Y14" i="21"/>
  <c r="H15" i="21"/>
  <c r="G15" i="21"/>
  <c r="Q15" i="21"/>
  <c r="P15" i="21"/>
  <c r="K15" i="21"/>
  <c r="J15" i="21"/>
  <c r="M15" i="21"/>
  <c r="N15" i="21"/>
  <c r="X15" i="20"/>
  <c r="K16" i="20"/>
  <c r="J16" i="20"/>
  <c r="H16" i="20"/>
  <c r="G16" i="20"/>
  <c r="N16" i="20"/>
  <c r="M16" i="20"/>
  <c r="T16" i="20"/>
  <c r="S16" i="20"/>
  <c r="E16" i="20"/>
  <c r="D16" i="20"/>
  <c r="Q16" i="20"/>
  <c r="P16" i="20"/>
  <c r="Y15" i="20"/>
  <c r="X15" i="18"/>
  <c r="Y15" i="18"/>
  <c r="H16" i="18"/>
  <c r="G16" i="18"/>
  <c r="S16" i="18"/>
  <c r="T16" i="18"/>
  <c r="K16" i="18"/>
  <c r="J16" i="18"/>
  <c r="N16" i="18"/>
  <c r="M16" i="18"/>
  <c r="E16" i="18"/>
  <c r="D16" i="18"/>
  <c r="P16" i="18"/>
  <c r="Q16" i="18"/>
  <c r="R11" i="8"/>
  <c r="O12" i="9"/>
  <c r="P12" i="9" s="1"/>
  <c r="L12" i="9"/>
  <c r="I12" i="9"/>
  <c r="F12" i="9"/>
  <c r="K11" i="9"/>
  <c r="J11" i="9"/>
  <c r="C12" i="9"/>
  <c r="B12" i="9"/>
  <c r="E11" i="9"/>
  <c r="D11" i="9"/>
  <c r="Q11" i="9"/>
  <c r="H11" i="9"/>
  <c r="G11" i="9"/>
  <c r="T11" i="9"/>
  <c r="U11" i="9"/>
  <c r="S11" i="9"/>
  <c r="W10" i="9"/>
  <c r="M11" i="9"/>
  <c r="R12" i="9"/>
  <c r="N11" i="9"/>
  <c r="L11" i="8"/>
  <c r="X10" i="9"/>
  <c r="I11" i="8" a="1"/>
  <c r="I11" i="8" s="1"/>
  <c r="O11" i="8"/>
  <c r="P11" i="8" s="1"/>
  <c r="F11" i="8" a="1"/>
  <c r="F11" i="8" s="1"/>
  <c r="W9" i="8"/>
  <c r="H10" i="8"/>
  <c r="G10" i="8"/>
  <c r="U10" i="8"/>
  <c r="T10" i="8"/>
  <c r="S10" i="8"/>
  <c r="N10" i="8"/>
  <c r="M10" i="8"/>
  <c r="X9" i="8"/>
  <c r="Q10" i="8"/>
  <c r="K10" i="8"/>
  <c r="J10" i="8"/>
  <c r="C11" i="8"/>
  <c r="B11" i="8"/>
  <c r="E10" i="8"/>
  <c r="D10" i="8"/>
  <c r="F17" i="22" l="1"/>
  <c r="O17" i="21"/>
  <c r="O17" i="22"/>
  <c r="I17" i="22"/>
  <c r="L18" i="22" s="1"/>
  <c r="R19" i="22" s="1"/>
  <c r="L17" i="21"/>
  <c r="R18" i="21" s="1"/>
  <c r="I17" i="21"/>
  <c r="F17" i="21"/>
  <c r="O18" i="20"/>
  <c r="I18" i="20"/>
  <c r="L19" i="20" s="1"/>
  <c r="R20" i="20" s="1"/>
  <c r="F18" i="20"/>
  <c r="O18" i="18"/>
  <c r="I18" i="18"/>
  <c r="L19" i="18" s="1"/>
  <c r="R20" i="18" s="1"/>
  <c r="F18" i="18"/>
  <c r="B16" i="22"/>
  <c r="U17" i="22" s="1"/>
  <c r="V16" i="22"/>
  <c r="V16" i="21"/>
  <c r="B16" i="21"/>
  <c r="U17" i="21" s="1"/>
  <c r="V17" i="20"/>
  <c r="B17" i="20"/>
  <c r="U18" i="20" s="1"/>
  <c r="B17" i="18"/>
  <c r="U18" i="18" s="1"/>
  <c r="V17" i="18"/>
  <c r="E16" i="22"/>
  <c r="D16" i="22"/>
  <c r="Q16" i="22"/>
  <c r="P16" i="22"/>
  <c r="X15" i="22"/>
  <c r="H16" i="22"/>
  <c r="G16" i="22"/>
  <c r="T16" i="22"/>
  <c r="S16" i="22"/>
  <c r="Y15" i="22"/>
  <c r="K16" i="22"/>
  <c r="J16" i="22"/>
  <c r="N16" i="22"/>
  <c r="M16" i="22"/>
  <c r="T16" i="21"/>
  <c r="S16" i="21"/>
  <c r="X15" i="21"/>
  <c r="Y15" i="21"/>
  <c r="H16" i="21"/>
  <c r="G16" i="21"/>
  <c r="K16" i="21"/>
  <c r="J16" i="21"/>
  <c r="Q16" i="21"/>
  <c r="P16" i="21"/>
  <c r="M16" i="21"/>
  <c r="N16" i="21"/>
  <c r="E16" i="21"/>
  <c r="D16" i="21"/>
  <c r="T17" i="20"/>
  <c r="S17" i="20"/>
  <c r="X16" i="20"/>
  <c r="H17" i="20"/>
  <c r="G17" i="20"/>
  <c r="Y16" i="20"/>
  <c r="K17" i="20"/>
  <c r="J17" i="20"/>
  <c r="Q17" i="20"/>
  <c r="P17" i="20"/>
  <c r="N17" i="20"/>
  <c r="M17" i="20"/>
  <c r="E17" i="20"/>
  <c r="D17" i="20"/>
  <c r="E17" i="18"/>
  <c r="D17" i="18"/>
  <c r="X16" i="18"/>
  <c r="Y16" i="18"/>
  <c r="N17" i="18"/>
  <c r="M17" i="18"/>
  <c r="S17" i="18"/>
  <c r="T17" i="18"/>
  <c r="K17" i="18"/>
  <c r="J17" i="18"/>
  <c r="R12" i="8"/>
  <c r="H17" i="18"/>
  <c r="G17" i="18"/>
  <c r="Q17" i="18"/>
  <c r="P17" i="18"/>
  <c r="I13" i="9"/>
  <c r="O13" i="9"/>
  <c r="P13" i="9" s="1"/>
  <c r="L12" i="8"/>
  <c r="F13" i="9"/>
  <c r="L13" i="9"/>
  <c r="X11" i="9"/>
  <c r="H12" i="9"/>
  <c r="G12" i="9"/>
  <c r="K12" i="9"/>
  <c r="J12" i="9"/>
  <c r="S12" i="9"/>
  <c r="U12" i="9"/>
  <c r="T12" i="9"/>
  <c r="W11" i="9"/>
  <c r="M12" i="9"/>
  <c r="R13" i="9"/>
  <c r="N12" i="9"/>
  <c r="C13" i="9"/>
  <c r="B13" i="9"/>
  <c r="E12" i="9"/>
  <c r="D12" i="9"/>
  <c r="O12" i="8"/>
  <c r="P12" i="8" s="1"/>
  <c r="Q12" i="9"/>
  <c r="I12" i="8" a="1"/>
  <c r="I12" i="8" s="1"/>
  <c r="F12" i="8" a="1"/>
  <c r="F12" i="8" s="1"/>
  <c r="H11" i="8"/>
  <c r="G11" i="8"/>
  <c r="U11" i="8"/>
  <c r="T11" i="8"/>
  <c r="S11" i="8"/>
  <c r="W10" i="8"/>
  <c r="X10" i="8"/>
  <c r="E11" i="8"/>
  <c r="D11" i="8"/>
  <c r="C12" i="8"/>
  <c r="B12" i="8"/>
  <c r="K11" i="8"/>
  <c r="J11" i="8"/>
  <c r="N11" i="8"/>
  <c r="M11" i="8"/>
  <c r="Q11" i="8"/>
  <c r="F18" i="22" l="1"/>
  <c r="O18" i="22"/>
  <c r="I18" i="22"/>
  <c r="L19" i="22" s="1"/>
  <c r="R20" i="22" s="1"/>
  <c r="O18" i="21"/>
  <c r="L18" i="21"/>
  <c r="R19" i="21" s="1"/>
  <c r="I18" i="21"/>
  <c r="F18" i="21"/>
  <c r="O19" i="20"/>
  <c r="O19" i="18"/>
  <c r="I19" i="20"/>
  <c r="L20" i="20" s="1"/>
  <c r="R21" i="20" s="1"/>
  <c r="F19" i="20"/>
  <c r="I19" i="18"/>
  <c r="L20" i="18" s="1"/>
  <c r="R21" i="18" s="1"/>
  <c r="F19" i="18"/>
  <c r="V17" i="22"/>
  <c r="B17" i="22"/>
  <c r="U18" i="22" s="1"/>
  <c r="V17" i="21"/>
  <c r="B17" i="21"/>
  <c r="U18" i="21" s="1"/>
  <c r="V18" i="20"/>
  <c r="B18" i="20"/>
  <c r="U19" i="20" s="1"/>
  <c r="V18" i="18"/>
  <c r="B18" i="18"/>
  <c r="U19" i="18" s="1"/>
  <c r="F19" i="22"/>
  <c r="Q17" i="22"/>
  <c r="P17" i="22"/>
  <c r="T17" i="22"/>
  <c r="S17" i="22"/>
  <c r="X16" i="22"/>
  <c r="H17" i="22"/>
  <c r="G17" i="22"/>
  <c r="Y16" i="22"/>
  <c r="K17" i="22"/>
  <c r="J17" i="22"/>
  <c r="N17" i="22"/>
  <c r="M17" i="22"/>
  <c r="E17" i="22"/>
  <c r="D17" i="22"/>
  <c r="Y16" i="21"/>
  <c r="X16" i="21"/>
  <c r="H17" i="21"/>
  <c r="G17" i="21"/>
  <c r="Q17" i="21"/>
  <c r="P17" i="21"/>
  <c r="K17" i="21"/>
  <c r="J17" i="21"/>
  <c r="M17" i="21"/>
  <c r="N17" i="21"/>
  <c r="E17" i="21"/>
  <c r="D17" i="21"/>
  <c r="T17" i="21"/>
  <c r="S17" i="21"/>
  <c r="Y17" i="20"/>
  <c r="N18" i="20"/>
  <c r="M18" i="20"/>
  <c r="X17" i="20"/>
  <c r="G18" i="20"/>
  <c r="H18" i="20"/>
  <c r="Q18" i="20"/>
  <c r="P18" i="20"/>
  <c r="E18" i="20"/>
  <c r="D18" i="20"/>
  <c r="K18" i="20"/>
  <c r="J18" i="20"/>
  <c r="S18" i="20"/>
  <c r="T18" i="20"/>
  <c r="Q18" i="18"/>
  <c r="P18" i="18"/>
  <c r="M18" i="18"/>
  <c r="N18" i="18"/>
  <c r="E18" i="18"/>
  <c r="D18" i="18"/>
  <c r="J18" i="18"/>
  <c r="K18" i="18"/>
  <c r="S18" i="18"/>
  <c r="T18" i="18"/>
  <c r="X17" i="18"/>
  <c r="R13" i="8"/>
  <c r="G18" i="18"/>
  <c r="H18" i="18"/>
  <c r="Y17" i="18"/>
  <c r="O14" i="9"/>
  <c r="P14" i="9" s="1"/>
  <c r="L14" i="9"/>
  <c r="F14" i="9"/>
  <c r="I14" i="9"/>
  <c r="X12" i="9"/>
  <c r="H13" i="9"/>
  <c r="G13" i="9"/>
  <c r="K13" i="9"/>
  <c r="J13" i="9"/>
  <c r="Q13" i="9"/>
  <c r="W12" i="9"/>
  <c r="C14" i="9"/>
  <c r="B14" i="9"/>
  <c r="E13" i="9"/>
  <c r="D13" i="9"/>
  <c r="O13" i="8"/>
  <c r="P13" i="8" s="1"/>
  <c r="M13" i="9"/>
  <c r="R14" i="9"/>
  <c r="N13" i="9"/>
  <c r="L13" i="8"/>
  <c r="T13" i="9"/>
  <c r="U13" i="9"/>
  <c r="S13" i="9"/>
  <c r="I13" i="8" a="1"/>
  <c r="I13" i="8" s="1"/>
  <c r="F13" i="8" a="1"/>
  <c r="F13" i="8" s="1"/>
  <c r="X11" i="8"/>
  <c r="E12" i="8"/>
  <c r="D12" i="8"/>
  <c r="C13" i="8"/>
  <c r="B13" i="8"/>
  <c r="S12" i="8"/>
  <c r="U12" i="8"/>
  <c r="T12" i="8"/>
  <c r="G12" i="8"/>
  <c r="H12" i="8"/>
  <c r="J12" i="8"/>
  <c r="K12" i="8"/>
  <c r="W11" i="8"/>
  <c r="N12" i="8"/>
  <c r="M12" i="8"/>
  <c r="Q12" i="8"/>
  <c r="O19" i="22" l="1"/>
  <c r="I19" i="22"/>
  <c r="L20" i="22" s="1"/>
  <c r="R21" i="22" s="1"/>
  <c r="L19" i="21"/>
  <c r="R20" i="21" s="1"/>
  <c r="O20" i="20"/>
  <c r="O19" i="21"/>
  <c r="I19" i="21"/>
  <c r="F19" i="21"/>
  <c r="I20" i="20"/>
  <c r="L21" i="20" s="1"/>
  <c r="R22" i="20" s="1"/>
  <c r="F20" i="20"/>
  <c r="O20" i="18"/>
  <c r="I20" i="18"/>
  <c r="L21" i="18" s="1"/>
  <c r="R22" i="18" s="1"/>
  <c r="F20" i="18"/>
  <c r="B18" i="22"/>
  <c r="U19" i="22" s="1"/>
  <c r="V18" i="22"/>
  <c r="V18" i="21"/>
  <c r="B18" i="21"/>
  <c r="U19" i="21" s="1"/>
  <c r="V19" i="20"/>
  <c r="B19" i="20"/>
  <c r="U20" i="20" s="1"/>
  <c r="B19" i="18"/>
  <c r="U20" i="18" s="1"/>
  <c r="V19" i="18"/>
  <c r="F20" i="22"/>
  <c r="K18" i="22"/>
  <c r="J18" i="22"/>
  <c r="E18" i="22"/>
  <c r="D18" i="22"/>
  <c r="Q18" i="22"/>
  <c r="P18" i="22"/>
  <c r="N18" i="22"/>
  <c r="M18" i="22"/>
  <c r="X17" i="22"/>
  <c r="G18" i="22"/>
  <c r="H18" i="22"/>
  <c r="Y17" i="22"/>
  <c r="S18" i="22"/>
  <c r="T18" i="22"/>
  <c r="E18" i="21"/>
  <c r="D18" i="21"/>
  <c r="T18" i="21"/>
  <c r="S18" i="21"/>
  <c r="X17" i="21"/>
  <c r="Y17" i="21"/>
  <c r="H18" i="21"/>
  <c r="G18" i="21"/>
  <c r="Q18" i="21"/>
  <c r="P18" i="21"/>
  <c r="K18" i="21"/>
  <c r="J18" i="21"/>
  <c r="M18" i="21"/>
  <c r="N18" i="21"/>
  <c r="Y18" i="20"/>
  <c r="H19" i="20"/>
  <c r="G19" i="20"/>
  <c r="K19" i="20"/>
  <c r="J19" i="20"/>
  <c r="Q19" i="20"/>
  <c r="P19" i="20"/>
  <c r="N19" i="20"/>
  <c r="M19" i="20"/>
  <c r="E19" i="20"/>
  <c r="D19" i="20"/>
  <c r="X18" i="20"/>
  <c r="T19" i="20"/>
  <c r="S19" i="20"/>
  <c r="X18" i="18"/>
  <c r="N19" i="18"/>
  <c r="M19" i="18"/>
  <c r="H19" i="18"/>
  <c r="G19" i="18"/>
  <c r="Y18" i="18"/>
  <c r="R14" i="8"/>
  <c r="J19" i="18"/>
  <c r="K19" i="18"/>
  <c r="Q19" i="18"/>
  <c r="P19" i="18"/>
  <c r="T19" i="18"/>
  <c r="S19" i="18"/>
  <c r="E19" i="18"/>
  <c r="D19" i="18"/>
  <c r="L15" i="9"/>
  <c r="O15" i="9"/>
  <c r="P15" i="9" s="1"/>
  <c r="F15" i="9"/>
  <c r="I15" i="9"/>
  <c r="T14" i="9"/>
  <c r="U14" i="9"/>
  <c r="S14" i="9"/>
  <c r="W13" i="9"/>
  <c r="Q14" i="9"/>
  <c r="C15" i="9"/>
  <c r="B15" i="9"/>
  <c r="E14" i="9"/>
  <c r="D14" i="9"/>
  <c r="O14" i="8"/>
  <c r="P14" i="8" s="1"/>
  <c r="X13" i="9"/>
  <c r="L14" i="8"/>
  <c r="H14" i="9"/>
  <c r="G14" i="9"/>
  <c r="M14" i="9"/>
  <c r="R15" i="9"/>
  <c r="N14" i="9"/>
  <c r="K14" i="9"/>
  <c r="J14" i="9"/>
  <c r="I14" i="8" a="1"/>
  <c r="I14" i="8" s="1"/>
  <c r="F14" i="8" a="1"/>
  <c r="F14" i="8" s="1"/>
  <c r="W12" i="8"/>
  <c r="Q13" i="8"/>
  <c r="E13" i="8"/>
  <c r="D13" i="8"/>
  <c r="C14" i="8"/>
  <c r="B14" i="8"/>
  <c r="N13" i="8"/>
  <c r="M13" i="8"/>
  <c r="H13" i="8"/>
  <c r="G13" i="8"/>
  <c r="X12" i="8"/>
  <c r="U13" i="8"/>
  <c r="T13" i="8"/>
  <c r="S13" i="8"/>
  <c r="K13" i="8"/>
  <c r="J13" i="8"/>
  <c r="L20" i="21" l="1"/>
  <c r="R21" i="21" s="1"/>
  <c r="O20" i="22"/>
  <c r="I20" i="22"/>
  <c r="L21" i="22" s="1"/>
  <c r="R22" i="22" s="1"/>
  <c r="O20" i="21"/>
  <c r="I20" i="21"/>
  <c r="L21" i="21" s="1"/>
  <c r="F20" i="21"/>
  <c r="O21" i="20"/>
  <c r="I21" i="20"/>
  <c r="L22" i="20" s="1"/>
  <c r="R23" i="20" s="1"/>
  <c r="F21" i="20"/>
  <c r="O21" i="18"/>
  <c r="I21" i="18"/>
  <c r="L22" i="18" s="1"/>
  <c r="R23" i="18" s="1"/>
  <c r="F21" i="18"/>
  <c r="B19" i="22"/>
  <c r="U20" i="22" s="1"/>
  <c r="V19" i="22"/>
  <c r="V19" i="21"/>
  <c r="B19" i="21"/>
  <c r="U20" i="21" s="1"/>
  <c r="V20" i="20"/>
  <c r="B20" i="20"/>
  <c r="U21" i="20" s="1"/>
  <c r="B20" i="18"/>
  <c r="U21" i="18" s="1"/>
  <c r="V20" i="18"/>
  <c r="F21" i="22"/>
  <c r="T19" i="22"/>
  <c r="S19" i="22"/>
  <c r="N19" i="22"/>
  <c r="M19" i="22"/>
  <c r="E19" i="22"/>
  <c r="D19" i="22"/>
  <c r="X18" i="22"/>
  <c r="Q19" i="22"/>
  <c r="P19" i="22"/>
  <c r="H19" i="22"/>
  <c r="G19" i="22"/>
  <c r="Y18" i="22"/>
  <c r="K19" i="22"/>
  <c r="J19" i="22"/>
  <c r="T19" i="21"/>
  <c r="S19" i="21"/>
  <c r="X18" i="21"/>
  <c r="Y18" i="21"/>
  <c r="H19" i="21"/>
  <c r="G19" i="21"/>
  <c r="K19" i="21"/>
  <c r="J19" i="21"/>
  <c r="Q19" i="21"/>
  <c r="P19" i="21"/>
  <c r="M19" i="21"/>
  <c r="N19" i="21"/>
  <c r="E19" i="21"/>
  <c r="D19" i="21"/>
  <c r="K20" i="20"/>
  <c r="J20" i="20"/>
  <c r="T20" i="20"/>
  <c r="S20" i="20"/>
  <c r="N20" i="20"/>
  <c r="M20" i="20"/>
  <c r="Y19" i="20"/>
  <c r="Q20" i="20"/>
  <c r="P20" i="20"/>
  <c r="E20" i="20"/>
  <c r="D20" i="20"/>
  <c r="X19" i="20"/>
  <c r="H20" i="20"/>
  <c r="G20" i="20"/>
  <c r="E20" i="18"/>
  <c r="D20" i="18"/>
  <c r="N20" i="18"/>
  <c r="M20" i="18"/>
  <c r="Y19" i="18"/>
  <c r="Q20" i="18"/>
  <c r="P20" i="18"/>
  <c r="H20" i="18"/>
  <c r="G20" i="18"/>
  <c r="K20" i="18"/>
  <c r="J20" i="18"/>
  <c r="T20" i="18"/>
  <c r="S20" i="18"/>
  <c r="X19" i="18"/>
  <c r="R15" i="8"/>
  <c r="I16" i="9"/>
  <c r="F16" i="9"/>
  <c r="O15" i="8"/>
  <c r="P15" i="8" s="1"/>
  <c r="O16" i="9"/>
  <c r="P16" i="9" s="1"/>
  <c r="L16" i="9"/>
  <c r="M15" i="9"/>
  <c r="R16" i="9"/>
  <c r="N15" i="9"/>
  <c r="U15" i="9"/>
  <c r="T15" i="9"/>
  <c r="S15" i="9"/>
  <c r="Q15" i="9"/>
  <c r="H15" i="9"/>
  <c r="G15" i="9"/>
  <c r="C16" i="9"/>
  <c r="B16" i="9"/>
  <c r="E15" i="9"/>
  <c r="D15" i="9"/>
  <c r="K15" i="9"/>
  <c r="J15" i="9"/>
  <c r="L15" i="8"/>
  <c r="W14" i="9"/>
  <c r="X14" i="9"/>
  <c r="I15" i="8" a="1"/>
  <c r="I15" i="8" s="1"/>
  <c r="F15" i="8" a="1"/>
  <c r="F15" i="8" s="1"/>
  <c r="H14" i="8"/>
  <c r="G14" i="8"/>
  <c r="E14" i="8"/>
  <c r="D14" i="8"/>
  <c r="C15" i="8"/>
  <c r="B15" i="8"/>
  <c r="X13" i="8"/>
  <c r="U14" i="8"/>
  <c r="T14" i="8"/>
  <c r="S14" i="8"/>
  <c r="W13" i="8"/>
  <c r="Q14" i="8"/>
  <c r="M14" i="8"/>
  <c r="N14" i="8"/>
  <c r="K14" i="8"/>
  <c r="J14" i="8"/>
  <c r="R22" i="21" l="1"/>
  <c r="O21" i="22"/>
  <c r="O21" i="21"/>
  <c r="I21" i="22"/>
  <c r="L22" i="22" s="1"/>
  <c r="R23" i="22" s="1"/>
  <c r="I21" i="21"/>
  <c r="L22" i="21" s="1"/>
  <c r="R23" i="21" s="1"/>
  <c r="F21" i="21"/>
  <c r="O22" i="20"/>
  <c r="I22" i="20"/>
  <c r="L23" i="20" s="1"/>
  <c r="R24" i="20" s="1"/>
  <c r="F22" i="20"/>
  <c r="O22" i="18"/>
  <c r="I22" i="18"/>
  <c r="L23" i="18" s="1"/>
  <c r="R24" i="18" s="1"/>
  <c r="F22" i="18"/>
  <c r="V20" i="22"/>
  <c r="B20" i="22"/>
  <c r="U21" i="22" s="1"/>
  <c r="V20" i="21"/>
  <c r="B20" i="21"/>
  <c r="U21" i="21" s="1"/>
  <c r="V21" i="20"/>
  <c r="B21" i="18"/>
  <c r="U22" i="18" s="1"/>
  <c r="B21" i="20"/>
  <c r="U22" i="20" s="1"/>
  <c r="V21" i="18"/>
  <c r="E20" i="22"/>
  <c r="D20" i="22"/>
  <c r="X19" i="22"/>
  <c r="H20" i="22"/>
  <c r="G20" i="22"/>
  <c r="Y19" i="22"/>
  <c r="Q20" i="22"/>
  <c r="P20" i="22"/>
  <c r="K20" i="22"/>
  <c r="J20" i="22"/>
  <c r="T20" i="22"/>
  <c r="S20" i="22"/>
  <c r="N20" i="22"/>
  <c r="M20" i="22"/>
  <c r="X19" i="21"/>
  <c r="Y19" i="21"/>
  <c r="K20" i="21"/>
  <c r="J20" i="21"/>
  <c r="Q20" i="21"/>
  <c r="P20" i="21"/>
  <c r="H20" i="21"/>
  <c r="G20" i="21"/>
  <c r="M20" i="21"/>
  <c r="N20" i="21"/>
  <c r="E20" i="21"/>
  <c r="D20" i="21"/>
  <c r="T20" i="21"/>
  <c r="S20" i="21"/>
  <c r="Q21" i="20"/>
  <c r="P21" i="20"/>
  <c r="M21" i="20"/>
  <c r="N21" i="20"/>
  <c r="T21" i="20"/>
  <c r="S21" i="20"/>
  <c r="E21" i="20"/>
  <c r="D21" i="20"/>
  <c r="X20" i="20"/>
  <c r="H21" i="20"/>
  <c r="G21" i="20"/>
  <c r="Y20" i="20"/>
  <c r="K21" i="20"/>
  <c r="J21" i="20"/>
  <c r="S21" i="18"/>
  <c r="T21" i="18"/>
  <c r="K21" i="18"/>
  <c r="J21" i="18"/>
  <c r="G21" i="18"/>
  <c r="H21" i="18"/>
  <c r="Q21" i="18"/>
  <c r="P21" i="18"/>
  <c r="E21" i="18"/>
  <c r="D21" i="18"/>
  <c r="X20" i="18"/>
  <c r="R16" i="8"/>
  <c r="Y20" i="18"/>
  <c r="M21" i="18"/>
  <c r="N21" i="18"/>
  <c r="O17" i="9"/>
  <c r="P17" i="9" s="1"/>
  <c r="L17" i="9"/>
  <c r="O16" i="8"/>
  <c r="P16" i="8" s="1"/>
  <c r="F17" i="9"/>
  <c r="I17" i="9"/>
  <c r="W15" i="9"/>
  <c r="X15" i="9"/>
  <c r="Q16" i="9"/>
  <c r="H16" i="9"/>
  <c r="G16" i="9"/>
  <c r="K16" i="9"/>
  <c r="J16" i="9"/>
  <c r="U16" i="9"/>
  <c r="T16" i="9"/>
  <c r="S16" i="9"/>
  <c r="M16" i="9"/>
  <c r="R17" i="9"/>
  <c r="N16" i="9"/>
  <c r="L16" i="8"/>
  <c r="C17" i="9"/>
  <c r="B17" i="9"/>
  <c r="E16" i="9"/>
  <c r="D16" i="9"/>
  <c r="I16" i="8" a="1"/>
  <c r="I16" i="8" s="1"/>
  <c r="F16" i="8" a="1"/>
  <c r="F16" i="8" s="1"/>
  <c r="U15" i="8"/>
  <c r="T15" i="8"/>
  <c r="S15" i="8"/>
  <c r="H15" i="8"/>
  <c r="G15" i="8"/>
  <c r="M15" i="8"/>
  <c r="N15" i="8"/>
  <c r="C16" i="8"/>
  <c r="B16" i="8"/>
  <c r="D15" i="8"/>
  <c r="E15" i="8"/>
  <c r="X14" i="8"/>
  <c r="Q15" i="8"/>
  <c r="W14" i="8"/>
  <c r="J15" i="8"/>
  <c r="K15" i="8"/>
  <c r="F22" i="22" l="1"/>
  <c r="O22" i="22"/>
  <c r="I22" i="22"/>
  <c r="L23" i="22" s="1"/>
  <c r="R24" i="22" s="1"/>
  <c r="O22" i="21"/>
  <c r="O23" i="20"/>
  <c r="I22" i="21"/>
  <c r="L23" i="21" s="1"/>
  <c r="R24" i="21" s="1"/>
  <c r="F22" i="21"/>
  <c r="I23" i="20"/>
  <c r="L24" i="20" s="1"/>
  <c r="R25" i="20" s="1"/>
  <c r="F23" i="20"/>
  <c r="O23" i="18"/>
  <c r="I23" i="18"/>
  <c r="L24" i="18" s="1"/>
  <c r="R25" i="18" s="1"/>
  <c r="F23" i="18"/>
  <c r="B21" i="22"/>
  <c r="U22" i="22" s="1"/>
  <c r="V21" i="22"/>
  <c r="V22" i="18"/>
  <c r="V21" i="21"/>
  <c r="B21" i="21"/>
  <c r="U22" i="21" s="1"/>
  <c r="V22" i="20"/>
  <c r="B22" i="20"/>
  <c r="U23" i="20" s="1"/>
  <c r="B22" i="18"/>
  <c r="U23" i="18" s="1"/>
  <c r="F23" i="22"/>
  <c r="Q21" i="22"/>
  <c r="P21" i="22"/>
  <c r="T21" i="22"/>
  <c r="S21" i="22"/>
  <c r="E21" i="22"/>
  <c r="D21" i="22"/>
  <c r="X20" i="22"/>
  <c r="H21" i="22"/>
  <c r="G21" i="22"/>
  <c r="Y20" i="22"/>
  <c r="K21" i="22"/>
  <c r="J21" i="22"/>
  <c r="M21" i="22"/>
  <c r="N21" i="22"/>
  <c r="T21" i="21"/>
  <c r="S21" i="21"/>
  <c r="Q21" i="21"/>
  <c r="P21" i="21"/>
  <c r="X20" i="21"/>
  <c r="Y20" i="21"/>
  <c r="H21" i="21"/>
  <c r="G21" i="21"/>
  <c r="K21" i="21"/>
  <c r="J21" i="21"/>
  <c r="M21" i="21"/>
  <c r="N21" i="21"/>
  <c r="E21" i="21"/>
  <c r="D21" i="21"/>
  <c r="E22" i="20"/>
  <c r="D22" i="20"/>
  <c r="Q22" i="20"/>
  <c r="P22" i="20"/>
  <c r="K22" i="20"/>
  <c r="J22" i="20"/>
  <c r="T22" i="20"/>
  <c r="S22" i="20"/>
  <c r="X21" i="20"/>
  <c r="N22" i="20"/>
  <c r="M22" i="20"/>
  <c r="H22" i="20"/>
  <c r="G22" i="20"/>
  <c r="Y21" i="20"/>
  <c r="R17" i="8"/>
  <c r="E22" i="18"/>
  <c r="D22" i="18"/>
  <c r="Q22" i="18"/>
  <c r="P22" i="18"/>
  <c r="T22" i="18"/>
  <c r="S22" i="18"/>
  <c r="H22" i="18"/>
  <c r="G22" i="18"/>
  <c r="X21" i="18"/>
  <c r="Y21" i="18"/>
  <c r="K22" i="18"/>
  <c r="J22" i="18"/>
  <c r="N22" i="18"/>
  <c r="M22" i="18"/>
  <c r="F18" i="9"/>
  <c r="O17" i="8"/>
  <c r="P17" i="8" s="1"/>
  <c r="L18" i="9"/>
  <c r="O18" i="9"/>
  <c r="P18" i="9" s="1"/>
  <c r="I18" i="9"/>
  <c r="W16" i="9"/>
  <c r="K17" i="9"/>
  <c r="J17" i="9"/>
  <c r="Q17" i="9"/>
  <c r="C18" i="9"/>
  <c r="B18" i="9"/>
  <c r="E17" i="9"/>
  <c r="D17" i="9"/>
  <c r="H17" i="9"/>
  <c r="G17" i="9"/>
  <c r="U17" i="9"/>
  <c r="T17" i="9"/>
  <c r="S17" i="9"/>
  <c r="X16" i="9"/>
  <c r="M17" i="9"/>
  <c r="R18" i="9"/>
  <c r="N17" i="9"/>
  <c r="L17" i="8"/>
  <c r="I17" i="8" a="1"/>
  <c r="I17" i="8" s="1"/>
  <c r="F17" i="8" a="1"/>
  <c r="F17" i="8" s="1"/>
  <c r="N16" i="8"/>
  <c r="M16" i="8"/>
  <c r="Q16" i="8"/>
  <c r="U16" i="8"/>
  <c r="T16" i="8"/>
  <c r="S16" i="8"/>
  <c r="W15" i="8"/>
  <c r="E16" i="8"/>
  <c r="B17" i="8"/>
  <c r="C17" i="8"/>
  <c r="D16" i="8"/>
  <c r="X15" i="8"/>
  <c r="K16" i="8"/>
  <c r="J16" i="8"/>
  <c r="H16" i="8"/>
  <c r="G16" i="8"/>
  <c r="O23" i="22" l="1"/>
  <c r="I23" i="22"/>
  <c r="L24" i="22" s="1"/>
  <c r="R25" i="22" s="1"/>
  <c r="O23" i="21"/>
  <c r="I23" i="21"/>
  <c r="L24" i="21" s="1"/>
  <c r="R25" i="21" s="1"/>
  <c r="F23" i="21"/>
  <c r="O24" i="20"/>
  <c r="O24" i="18"/>
  <c r="I24" i="20"/>
  <c r="L25" i="20" s="1"/>
  <c r="R26" i="20" s="1"/>
  <c r="F24" i="20"/>
  <c r="I24" i="18"/>
  <c r="L25" i="18" s="1"/>
  <c r="R26" i="18" s="1"/>
  <c r="F24" i="18"/>
  <c r="B22" i="22"/>
  <c r="U23" i="22" s="1"/>
  <c r="V22" i="22"/>
  <c r="V22" i="21"/>
  <c r="B22" i="21"/>
  <c r="U23" i="21" s="1"/>
  <c r="V23" i="20"/>
  <c r="B23" i="20"/>
  <c r="U24" i="20" s="1"/>
  <c r="V23" i="18"/>
  <c r="B23" i="18"/>
  <c r="U24" i="18" s="1"/>
  <c r="F24" i="22"/>
  <c r="X21" i="22"/>
  <c r="H22" i="22"/>
  <c r="G22" i="22"/>
  <c r="Y21" i="22"/>
  <c r="T22" i="22"/>
  <c r="S22" i="22"/>
  <c r="K22" i="22"/>
  <c r="J22" i="22"/>
  <c r="N22" i="22"/>
  <c r="M22" i="22"/>
  <c r="E22" i="22"/>
  <c r="D22" i="22"/>
  <c r="Q22" i="22"/>
  <c r="P22" i="22"/>
  <c r="Y21" i="21"/>
  <c r="X21" i="21"/>
  <c r="Q22" i="21"/>
  <c r="P22" i="21"/>
  <c r="K22" i="21"/>
  <c r="J22" i="21"/>
  <c r="H22" i="21"/>
  <c r="G22" i="21"/>
  <c r="M22" i="21"/>
  <c r="N22" i="21"/>
  <c r="E22" i="21"/>
  <c r="D22" i="21"/>
  <c r="T22" i="21"/>
  <c r="S22" i="21"/>
  <c r="Q23" i="20"/>
  <c r="P23" i="20"/>
  <c r="X22" i="20"/>
  <c r="H23" i="20"/>
  <c r="G23" i="20"/>
  <c r="Y22" i="20"/>
  <c r="K23" i="20"/>
  <c r="J23" i="20"/>
  <c r="N23" i="20"/>
  <c r="M23" i="20"/>
  <c r="T23" i="20"/>
  <c r="S23" i="20"/>
  <c r="E23" i="20"/>
  <c r="D23" i="20"/>
  <c r="R18" i="8"/>
  <c r="K23" i="18"/>
  <c r="J23" i="18"/>
  <c r="N23" i="18"/>
  <c r="M23" i="18"/>
  <c r="H23" i="18"/>
  <c r="G23" i="18"/>
  <c r="T23" i="18"/>
  <c r="S23" i="18"/>
  <c r="X22" i="18"/>
  <c r="Y22" i="18"/>
  <c r="Q23" i="18"/>
  <c r="P23" i="18"/>
  <c r="E23" i="18"/>
  <c r="D23" i="18"/>
  <c r="I19" i="9"/>
  <c r="F19" i="9"/>
  <c r="L18" i="8"/>
  <c r="L19" i="9"/>
  <c r="O19" i="9"/>
  <c r="X17" i="9"/>
  <c r="K18" i="9"/>
  <c r="J18" i="9"/>
  <c r="M18" i="9"/>
  <c r="R19" i="9"/>
  <c r="N18" i="9"/>
  <c r="W17" i="9"/>
  <c r="C19" i="9"/>
  <c r="B19" i="9"/>
  <c r="E18" i="9"/>
  <c r="D18" i="9"/>
  <c r="U18" i="9"/>
  <c r="T18" i="9"/>
  <c r="S18" i="9"/>
  <c r="H18" i="9"/>
  <c r="G18" i="9"/>
  <c r="Q18" i="9"/>
  <c r="O18" i="8"/>
  <c r="P18" i="8" s="1"/>
  <c r="I18" i="8" a="1"/>
  <c r="I18" i="8" s="1"/>
  <c r="F18" i="8" a="1"/>
  <c r="F18" i="8" s="1"/>
  <c r="X16" i="8"/>
  <c r="E17" i="8"/>
  <c r="D17" i="8"/>
  <c r="C18" i="8"/>
  <c r="B18" i="8"/>
  <c r="T17" i="8"/>
  <c r="S17" i="8"/>
  <c r="U17" i="8"/>
  <c r="Q17" i="8"/>
  <c r="W16" i="8"/>
  <c r="G17" i="8"/>
  <c r="H17" i="8"/>
  <c r="K17" i="8"/>
  <c r="J17" i="8"/>
  <c r="N17" i="8"/>
  <c r="M17" i="8"/>
  <c r="O24" i="22" l="1"/>
  <c r="I24" i="22"/>
  <c r="L25" i="22" s="1"/>
  <c r="R26" i="22" s="1"/>
  <c r="O24" i="21"/>
  <c r="I24" i="21"/>
  <c r="L25" i="21" s="1"/>
  <c r="R26" i="21" s="1"/>
  <c r="F24" i="21"/>
  <c r="O25" i="20"/>
  <c r="I25" i="20"/>
  <c r="L26" i="20" s="1"/>
  <c r="R27" i="20" s="1"/>
  <c r="F25" i="20"/>
  <c r="O25" i="18"/>
  <c r="I25" i="18"/>
  <c r="L26" i="18" s="1"/>
  <c r="R27" i="18" s="1"/>
  <c r="F25" i="18"/>
  <c r="B23" i="22"/>
  <c r="U24" i="22" s="1"/>
  <c r="V23" i="22"/>
  <c r="V23" i="21"/>
  <c r="B23" i="21"/>
  <c r="U24" i="21" s="1"/>
  <c r="V24" i="20"/>
  <c r="B24" i="20"/>
  <c r="U25" i="20" s="1"/>
  <c r="V24" i="18"/>
  <c r="B24" i="18"/>
  <c r="U25" i="18" s="1"/>
  <c r="F25" i="22"/>
  <c r="T23" i="22"/>
  <c r="S23" i="22"/>
  <c r="X22" i="22"/>
  <c r="H23" i="22"/>
  <c r="G23" i="22"/>
  <c r="Y22" i="22"/>
  <c r="K23" i="22"/>
  <c r="J23" i="22"/>
  <c r="N23" i="22"/>
  <c r="M23" i="22"/>
  <c r="E23" i="22"/>
  <c r="D23" i="22"/>
  <c r="Q23" i="22"/>
  <c r="P23" i="22"/>
  <c r="E23" i="21"/>
  <c r="D23" i="21"/>
  <c r="Q23" i="21"/>
  <c r="P23" i="21"/>
  <c r="T23" i="21"/>
  <c r="S23" i="21"/>
  <c r="X22" i="21"/>
  <c r="Y22" i="21"/>
  <c r="H23" i="21"/>
  <c r="G23" i="21"/>
  <c r="K23" i="21"/>
  <c r="J23" i="21"/>
  <c r="M23" i="21"/>
  <c r="N23" i="21"/>
  <c r="K24" i="20"/>
  <c r="J24" i="20"/>
  <c r="S24" i="20"/>
  <c r="T24" i="20"/>
  <c r="R19" i="8"/>
  <c r="N24" i="20"/>
  <c r="M24" i="20"/>
  <c r="E24" i="20"/>
  <c r="D24" i="20"/>
  <c r="X23" i="20"/>
  <c r="Y23" i="20"/>
  <c r="Q24" i="20"/>
  <c r="P24" i="20"/>
  <c r="G24" i="20"/>
  <c r="H24" i="20"/>
  <c r="M24" i="18"/>
  <c r="N24" i="18"/>
  <c r="K24" i="18"/>
  <c r="J24" i="18"/>
  <c r="X23" i="18"/>
  <c r="Q24" i="18"/>
  <c r="P24" i="18"/>
  <c r="G24" i="18"/>
  <c r="H24" i="18"/>
  <c r="E24" i="18"/>
  <c r="D24" i="18"/>
  <c r="Y23" i="18"/>
  <c r="S24" i="18"/>
  <c r="T24" i="18"/>
  <c r="L19" i="8"/>
  <c r="L20" i="9"/>
  <c r="O20" i="9"/>
  <c r="P20" i="9" s="1"/>
  <c r="P19" i="9"/>
  <c r="I20" i="9"/>
  <c r="F20" i="9"/>
  <c r="K19" i="9"/>
  <c r="J19" i="9"/>
  <c r="C20" i="9"/>
  <c r="B20" i="9"/>
  <c r="E19" i="9"/>
  <c r="D19" i="9"/>
  <c r="H19" i="9"/>
  <c r="G19" i="9"/>
  <c r="M19" i="9"/>
  <c r="R20" i="9"/>
  <c r="N19" i="9"/>
  <c r="U19" i="9"/>
  <c r="T19" i="9"/>
  <c r="S19" i="9"/>
  <c r="W18" i="9"/>
  <c r="Q19" i="9"/>
  <c r="O19" i="8"/>
  <c r="P19" i="8" s="1"/>
  <c r="X18" i="9"/>
  <c r="I19" i="8" a="1"/>
  <c r="I19" i="8" s="1"/>
  <c r="F19" i="8" a="1"/>
  <c r="F19" i="8" s="1"/>
  <c r="S18" i="8"/>
  <c r="U18" i="8"/>
  <c r="T18" i="8"/>
  <c r="K18" i="8"/>
  <c r="J18" i="8"/>
  <c r="W17" i="8"/>
  <c r="N18" i="8"/>
  <c r="M18" i="8"/>
  <c r="G18" i="8"/>
  <c r="H18" i="8"/>
  <c r="E18" i="8"/>
  <c r="D18" i="8"/>
  <c r="C19" i="8"/>
  <c r="B19" i="8"/>
  <c r="Q18" i="8"/>
  <c r="X17" i="8"/>
  <c r="O25" i="21" l="1"/>
  <c r="O25" i="22"/>
  <c r="I25" i="22"/>
  <c r="L26" i="22" s="1"/>
  <c r="R27" i="22" s="1"/>
  <c r="I25" i="21"/>
  <c r="L26" i="21" s="1"/>
  <c r="R27" i="21" s="1"/>
  <c r="F25" i="21"/>
  <c r="O26" i="20"/>
  <c r="I26" i="20"/>
  <c r="L27" i="20" s="1"/>
  <c r="R28" i="20" s="1"/>
  <c r="F26" i="20"/>
  <c r="O26" i="18"/>
  <c r="I26" i="18"/>
  <c r="L27" i="18" s="1"/>
  <c r="R28" i="18" s="1"/>
  <c r="F26" i="18"/>
  <c r="B24" i="22"/>
  <c r="U25" i="22" s="1"/>
  <c r="V24" i="22"/>
  <c r="V24" i="21"/>
  <c r="B24" i="21"/>
  <c r="U25" i="21" s="1"/>
  <c r="V25" i="20"/>
  <c r="B25" i="20"/>
  <c r="U26" i="20" s="1"/>
  <c r="B25" i="18"/>
  <c r="U26" i="18" s="1"/>
  <c r="V25" i="18"/>
  <c r="F26" i="22"/>
  <c r="S24" i="22"/>
  <c r="T24" i="22"/>
  <c r="K24" i="22"/>
  <c r="J24" i="22"/>
  <c r="N24" i="22"/>
  <c r="M24" i="22"/>
  <c r="E24" i="22"/>
  <c r="D24" i="22"/>
  <c r="Q24" i="22"/>
  <c r="P24" i="22"/>
  <c r="X23" i="22"/>
  <c r="G24" i="22"/>
  <c r="H24" i="22"/>
  <c r="Y23" i="22"/>
  <c r="X23" i="21"/>
  <c r="Y23" i="21"/>
  <c r="Q24" i="21"/>
  <c r="P24" i="21"/>
  <c r="H24" i="21"/>
  <c r="G24" i="21"/>
  <c r="K24" i="21"/>
  <c r="J24" i="21"/>
  <c r="T24" i="21"/>
  <c r="S24" i="21"/>
  <c r="M24" i="21"/>
  <c r="N24" i="21"/>
  <c r="E24" i="21"/>
  <c r="D24" i="21"/>
  <c r="R20" i="8"/>
  <c r="Y24" i="20"/>
  <c r="H25" i="20"/>
  <c r="G25" i="20"/>
  <c r="K25" i="20"/>
  <c r="J25" i="20"/>
  <c r="Q25" i="20"/>
  <c r="P25" i="20"/>
  <c r="T25" i="20"/>
  <c r="S25" i="20"/>
  <c r="N25" i="20"/>
  <c r="M25" i="20"/>
  <c r="E25" i="20"/>
  <c r="D25" i="20"/>
  <c r="X24" i="20"/>
  <c r="N25" i="18"/>
  <c r="M25" i="18"/>
  <c r="E25" i="18"/>
  <c r="D25" i="18"/>
  <c r="X24" i="18"/>
  <c r="H25" i="18"/>
  <c r="G25" i="18"/>
  <c r="K25" i="18"/>
  <c r="J25" i="18"/>
  <c r="Q25" i="18"/>
  <c r="P25" i="18"/>
  <c r="Y24" i="18"/>
  <c r="T25" i="18"/>
  <c r="S25" i="18"/>
  <c r="F21" i="9"/>
  <c r="O21" i="9"/>
  <c r="P21" i="9" s="1"/>
  <c r="I21" i="9"/>
  <c r="L21" i="9"/>
  <c r="W19" i="9"/>
  <c r="X19" i="9"/>
  <c r="H20" i="9"/>
  <c r="G20" i="9"/>
  <c r="K20" i="9"/>
  <c r="J20" i="9"/>
  <c r="M20" i="9"/>
  <c r="R21" i="9"/>
  <c r="N20" i="9"/>
  <c r="C21" i="9"/>
  <c r="B21" i="9"/>
  <c r="E20" i="9"/>
  <c r="D20" i="9"/>
  <c r="U20" i="9"/>
  <c r="T20" i="9"/>
  <c r="S20" i="9"/>
  <c r="O20" i="8"/>
  <c r="P20" i="8" s="1"/>
  <c r="L20" i="8"/>
  <c r="Q20" i="9"/>
  <c r="I20" i="8" a="1"/>
  <c r="I20" i="8" s="1"/>
  <c r="F20" i="8" a="1"/>
  <c r="F20" i="8" s="1"/>
  <c r="U19" i="8"/>
  <c r="T19" i="8"/>
  <c r="S19" i="8"/>
  <c r="W18" i="8"/>
  <c r="N19" i="8"/>
  <c r="M19" i="8"/>
  <c r="Q19" i="8"/>
  <c r="X18" i="8"/>
  <c r="E19" i="8"/>
  <c r="D19" i="8"/>
  <c r="B20" i="8"/>
  <c r="C20" i="8"/>
  <c r="H19" i="8"/>
  <c r="G19" i="8"/>
  <c r="K19" i="8"/>
  <c r="J19" i="8"/>
  <c r="O26" i="22" l="1"/>
  <c r="I26" i="22"/>
  <c r="L27" i="22" s="1"/>
  <c r="R28" i="22" s="1"/>
  <c r="O26" i="21"/>
  <c r="I26" i="21"/>
  <c r="L27" i="21" s="1"/>
  <c r="R28" i="21" s="1"/>
  <c r="F26" i="21"/>
  <c r="O27" i="20"/>
  <c r="I27" i="20"/>
  <c r="L28" i="20" s="1"/>
  <c r="R29" i="20" s="1"/>
  <c r="F27" i="20"/>
  <c r="O27" i="18"/>
  <c r="I27" i="18"/>
  <c r="L28" i="18" s="1"/>
  <c r="R29" i="18" s="1"/>
  <c r="F27" i="18"/>
  <c r="B25" i="22"/>
  <c r="U26" i="22" s="1"/>
  <c r="V25" i="22"/>
  <c r="V25" i="21"/>
  <c r="B25" i="21"/>
  <c r="U26" i="21" s="1"/>
  <c r="V26" i="20"/>
  <c r="B26" i="20"/>
  <c r="U27" i="20" s="1"/>
  <c r="B26" i="18"/>
  <c r="U27" i="18" s="1"/>
  <c r="V26" i="18"/>
  <c r="F27" i="22"/>
  <c r="X24" i="22"/>
  <c r="Y24" i="22"/>
  <c r="H25" i="22"/>
  <c r="G25" i="22"/>
  <c r="K25" i="22"/>
  <c r="J25" i="22"/>
  <c r="Q25" i="22"/>
  <c r="P25" i="22"/>
  <c r="T25" i="22"/>
  <c r="S25" i="22"/>
  <c r="N25" i="22"/>
  <c r="M25" i="22"/>
  <c r="E25" i="22"/>
  <c r="D25" i="22"/>
  <c r="X24" i="21"/>
  <c r="Y24" i="21"/>
  <c r="H25" i="21"/>
  <c r="G25" i="21"/>
  <c r="K25" i="21"/>
  <c r="J25" i="21"/>
  <c r="Q25" i="21"/>
  <c r="P25" i="21"/>
  <c r="M25" i="21"/>
  <c r="N25" i="21"/>
  <c r="E25" i="21"/>
  <c r="D25" i="21"/>
  <c r="T25" i="21"/>
  <c r="S25" i="21"/>
  <c r="R21" i="8"/>
  <c r="T26" i="20"/>
  <c r="S26" i="20"/>
  <c r="N26" i="20"/>
  <c r="M26" i="20"/>
  <c r="E26" i="20"/>
  <c r="D26" i="20"/>
  <c r="X25" i="20"/>
  <c r="H26" i="20"/>
  <c r="G26" i="20"/>
  <c r="Y25" i="20"/>
  <c r="Q26" i="20"/>
  <c r="P26" i="20"/>
  <c r="K26" i="20"/>
  <c r="J26" i="20"/>
  <c r="X25" i="18"/>
  <c r="E26" i="18"/>
  <c r="D26" i="18"/>
  <c r="Y25" i="18"/>
  <c r="H26" i="18"/>
  <c r="G26" i="18"/>
  <c r="N26" i="18"/>
  <c r="M26" i="18"/>
  <c r="K26" i="18"/>
  <c r="J26" i="18"/>
  <c r="Q26" i="18"/>
  <c r="P26" i="18"/>
  <c r="T26" i="18"/>
  <c r="S26" i="18"/>
  <c r="F22" i="9"/>
  <c r="I22" i="9"/>
  <c r="L22" i="9"/>
  <c r="O22" i="9"/>
  <c r="P22" i="9" s="1"/>
  <c r="U21" i="9"/>
  <c r="T21" i="9"/>
  <c r="S21" i="9"/>
  <c r="M21" i="9"/>
  <c r="R22" i="9"/>
  <c r="N21" i="9"/>
  <c r="C22" i="9"/>
  <c r="B22" i="9"/>
  <c r="E21" i="9"/>
  <c r="D21" i="9"/>
  <c r="W20" i="9"/>
  <c r="Q21" i="9"/>
  <c r="X20" i="9"/>
  <c r="H21" i="9"/>
  <c r="G21" i="9"/>
  <c r="O21" i="8"/>
  <c r="P21" i="8" s="1"/>
  <c r="K21" i="9"/>
  <c r="J21" i="9"/>
  <c r="L21" i="8"/>
  <c r="I21" i="8" a="1"/>
  <c r="I21" i="8" s="1"/>
  <c r="X19" i="8"/>
  <c r="F21" i="8" a="1"/>
  <c r="F21" i="8" s="1"/>
  <c r="K20" i="8"/>
  <c r="J20" i="8"/>
  <c r="N20" i="8"/>
  <c r="M20" i="8"/>
  <c r="U20" i="8"/>
  <c r="T20" i="8"/>
  <c r="S20" i="8"/>
  <c r="E20" i="8"/>
  <c r="C21" i="8"/>
  <c r="D20" i="8"/>
  <c r="B21" i="8"/>
  <c r="Q20" i="8"/>
  <c r="W19" i="8"/>
  <c r="H20" i="8"/>
  <c r="G20" i="8"/>
  <c r="O27" i="22" l="1"/>
  <c r="I27" i="22"/>
  <c r="L28" i="22" s="1"/>
  <c r="R29" i="22" s="1"/>
  <c r="O27" i="21"/>
  <c r="I27" i="21"/>
  <c r="L28" i="21" s="1"/>
  <c r="R29" i="21" s="1"/>
  <c r="F27" i="21"/>
  <c r="O28" i="20"/>
  <c r="I28" i="20"/>
  <c r="L29" i="20" s="1"/>
  <c r="R30" i="20" s="1"/>
  <c r="F28" i="20"/>
  <c r="O28" i="18"/>
  <c r="I28" i="18"/>
  <c r="L29" i="18" s="1"/>
  <c r="R30" i="18" s="1"/>
  <c r="F28" i="18"/>
  <c r="B26" i="22"/>
  <c r="U27" i="22" s="1"/>
  <c r="V26" i="22"/>
  <c r="V26" i="21"/>
  <c r="B26" i="21"/>
  <c r="U27" i="21" s="1"/>
  <c r="V27" i="20"/>
  <c r="B27" i="20"/>
  <c r="U28" i="20" s="1"/>
  <c r="V27" i="18"/>
  <c r="B27" i="18"/>
  <c r="U28" i="18" s="1"/>
  <c r="T26" i="22"/>
  <c r="S26" i="22"/>
  <c r="N26" i="22"/>
  <c r="M26" i="22"/>
  <c r="E26" i="22"/>
  <c r="D26" i="22"/>
  <c r="X25" i="22"/>
  <c r="H26" i="22"/>
  <c r="G26" i="22"/>
  <c r="Y25" i="22"/>
  <c r="Q26" i="22"/>
  <c r="P26" i="22"/>
  <c r="K26" i="22"/>
  <c r="J26" i="22"/>
  <c r="R22" i="8"/>
  <c r="E26" i="21"/>
  <c r="D26" i="21"/>
  <c r="T26" i="21"/>
  <c r="S26" i="21"/>
  <c r="X25" i="21"/>
  <c r="Y25" i="21"/>
  <c r="H26" i="21"/>
  <c r="G26" i="21"/>
  <c r="Q26" i="21"/>
  <c r="P26" i="21"/>
  <c r="K26" i="21"/>
  <c r="J26" i="21"/>
  <c r="M26" i="21"/>
  <c r="N26" i="21"/>
  <c r="X26" i="20"/>
  <c r="Y26" i="20"/>
  <c r="K27" i="20"/>
  <c r="J27" i="20"/>
  <c r="M27" i="20"/>
  <c r="N27" i="20"/>
  <c r="E27" i="20"/>
  <c r="D27" i="20"/>
  <c r="Q27" i="20"/>
  <c r="P27" i="20"/>
  <c r="T27" i="20"/>
  <c r="S27" i="20"/>
  <c r="H27" i="20"/>
  <c r="G27" i="20"/>
  <c r="Q27" i="18"/>
  <c r="P27" i="18"/>
  <c r="E27" i="18"/>
  <c r="D27" i="18"/>
  <c r="G27" i="18"/>
  <c r="H27" i="18"/>
  <c r="K27" i="18"/>
  <c r="J27" i="18"/>
  <c r="X26" i="18"/>
  <c r="Y26" i="18"/>
  <c r="M27" i="18"/>
  <c r="N27" i="18"/>
  <c r="S27" i="18"/>
  <c r="T27" i="18"/>
  <c r="L23" i="9"/>
  <c r="I23" i="9"/>
  <c r="L22" i="8"/>
  <c r="O23" i="9"/>
  <c r="P23" i="9" s="1"/>
  <c r="F23" i="9"/>
  <c r="H22" i="9"/>
  <c r="G22" i="9"/>
  <c r="Q22" i="9"/>
  <c r="M22" i="9"/>
  <c r="R23" i="9"/>
  <c r="N22" i="9"/>
  <c r="C23" i="9"/>
  <c r="B23" i="9"/>
  <c r="E22" i="9"/>
  <c r="D22" i="9"/>
  <c r="K22" i="9"/>
  <c r="J22" i="9"/>
  <c r="U22" i="9"/>
  <c r="T22" i="9"/>
  <c r="S22" i="9"/>
  <c r="O22" i="8"/>
  <c r="P22" i="8" s="1"/>
  <c r="X21" i="9"/>
  <c r="W21" i="9"/>
  <c r="I22" i="8" a="1"/>
  <c r="I22" i="8" s="1"/>
  <c r="F22" i="8" a="1"/>
  <c r="F22" i="8" s="1"/>
  <c r="X20" i="8"/>
  <c r="C22" i="8"/>
  <c r="B22" i="8"/>
  <c r="D21" i="8"/>
  <c r="E21" i="8"/>
  <c r="M21" i="8"/>
  <c r="N21" i="8"/>
  <c r="K21" i="8"/>
  <c r="J21" i="8"/>
  <c r="U21" i="8"/>
  <c r="T21" i="8"/>
  <c r="S21" i="8"/>
  <c r="Q21" i="8"/>
  <c r="W20" i="8"/>
  <c r="H21" i="8"/>
  <c r="G21" i="8"/>
  <c r="F28" i="22" l="1"/>
  <c r="O28" i="22"/>
  <c r="I28" i="22"/>
  <c r="L29" i="22" s="1"/>
  <c r="R30" i="22" s="1"/>
  <c r="O28" i="21"/>
  <c r="I28" i="21"/>
  <c r="L29" i="21" s="1"/>
  <c r="R30" i="21" s="1"/>
  <c r="F28" i="21"/>
  <c r="O29" i="20"/>
  <c r="I29" i="20"/>
  <c r="L30" i="20" s="1"/>
  <c r="R31" i="20" s="1"/>
  <c r="F29" i="20"/>
  <c r="O29" i="18"/>
  <c r="I29" i="18"/>
  <c r="L30" i="18" s="1"/>
  <c r="R31" i="18" s="1"/>
  <c r="F29" i="18"/>
  <c r="B27" i="22"/>
  <c r="U28" i="22" s="1"/>
  <c r="V27" i="22"/>
  <c r="V27" i="21"/>
  <c r="B27" i="21"/>
  <c r="U28" i="21" s="1"/>
  <c r="V28" i="20"/>
  <c r="B28" i="20"/>
  <c r="U29" i="20" s="1"/>
  <c r="V28" i="18"/>
  <c r="B28" i="18"/>
  <c r="U29" i="18" s="1"/>
  <c r="F29" i="22"/>
  <c r="Y26" i="22"/>
  <c r="E27" i="22"/>
  <c r="D27" i="22"/>
  <c r="X26" i="22"/>
  <c r="H27" i="22"/>
  <c r="G27" i="22"/>
  <c r="K27" i="22"/>
  <c r="J27" i="22"/>
  <c r="M27" i="22"/>
  <c r="N27" i="22"/>
  <c r="Q27" i="22"/>
  <c r="P27" i="22"/>
  <c r="T27" i="22"/>
  <c r="S27" i="22"/>
  <c r="R23" i="8"/>
  <c r="X26" i="21"/>
  <c r="Y26" i="21"/>
  <c r="H27" i="21"/>
  <c r="G27" i="21"/>
  <c r="T27" i="21"/>
  <c r="S27" i="21"/>
  <c r="K27" i="21"/>
  <c r="J27" i="21"/>
  <c r="Q27" i="21"/>
  <c r="P27" i="21"/>
  <c r="M27" i="21"/>
  <c r="N27" i="21"/>
  <c r="E27" i="21"/>
  <c r="D27" i="21"/>
  <c r="Y27" i="20"/>
  <c r="K28" i="20"/>
  <c r="J28" i="20"/>
  <c r="N28" i="20"/>
  <c r="M28" i="20"/>
  <c r="Q28" i="20"/>
  <c r="P28" i="20"/>
  <c r="E28" i="20"/>
  <c r="D28" i="20"/>
  <c r="T28" i="20"/>
  <c r="S28" i="20"/>
  <c r="X27" i="20"/>
  <c r="H28" i="20"/>
  <c r="G28" i="20"/>
  <c r="Y27" i="18"/>
  <c r="Q28" i="18"/>
  <c r="P28" i="18"/>
  <c r="X27" i="18"/>
  <c r="H28" i="18"/>
  <c r="G28" i="18"/>
  <c r="K28" i="18"/>
  <c r="J28" i="18"/>
  <c r="N28" i="18"/>
  <c r="M28" i="18"/>
  <c r="T28" i="18"/>
  <c r="S28" i="18"/>
  <c r="E28" i="18"/>
  <c r="D28" i="18"/>
  <c r="O24" i="9"/>
  <c r="P24" i="9" s="1"/>
  <c r="F24" i="9"/>
  <c r="L24" i="9"/>
  <c r="I24" i="9"/>
  <c r="U23" i="9"/>
  <c r="T23" i="9"/>
  <c r="S23" i="9"/>
  <c r="W22" i="9"/>
  <c r="C24" i="9"/>
  <c r="B24" i="9"/>
  <c r="E23" i="9"/>
  <c r="D23" i="9"/>
  <c r="X22" i="9"/>
  <c r="Q23" i="9"/>
  <c r="M23" i="9"/>
  <c r="R24" i="9"/>
  <c r="N23" i="9"/>
  <c r="H23" i="9"/>
  <c r="G23" i="9"/>
  <c r="L23" i="8"/>
  <c r="K23" i="9"/>
  <c r="J23" i="9"/>
  <c r="O23" i="8"/>
  <c r="P23" i="8" s="1"/>
  <c r="I23" i="8" a="1"/>
  <c r="I23" i="8" s="1"/>
  <c r="F23" i="8" a="1"/>
  <c r="F23" i="8" s="1"/>
  <c r="X21" i="8"/>
  <c r="W21" i="8"/>
  <c r="K22" i="8"/>
  <c r="J22" i="8"/>
  <c r="U22" i="8"/>
  <c r="T22" i="8"/>
  <c r="S22" i="8"/>
  <c r="H22" i="8"/>
  <c r="G22" i="8"/>
  <c r="N22" i="8"/>
  <c r="M22" i="8"/>
  <c r="Q22" i="8"/>
  <c r="C23" i="8"/>
  <c r="B23" i="8"/>
  <c r="E22" i="8"/>
  <c r="D22" i="8"/>
  <c r="O29" i="22" l="1"/>
  <c r="I29" i="22"/>
  <c r="L30" i="22" s="1"/>
  <c r="R31" i="22" s="1"/>
  <c r="O29" i="21"/>
  <c r="I29" i="21"/>
  <c r="O30" i="20"/>
  <c r="F29" i="21"/>
  <c r="I30" i="20"/>
  <c r="L31" i="20" s="1"/>
  <c r="R32" i="20" s="1"/>
  <c r="O30" i="18"/>
  <c r="F30" i="20"/>
  <c r="I30" i="18"/>
  <c r="L31" i="18" s="1"/>
  <c r="R32" i="18" s="1"/>
  <c r="F30" i="18"/>
  <c r="B28" i="22"/>
  <c r="U29" i="22" s="1"/>
  <c r="V28" i="22"/>
  <c r="V28" i="21"/>
  <c r="B28" i="21"/>
  <c r="U29" i="21" s="1"/>
  <c r="V29" i="20"/>
  <c r="B29" i="20"/>
  <c r="U30" i="20" s="1"/>
  <c r="V29" i="18"/>
  <c r="B29" i="18"/>
  <c r="U30" i="18" s="1"/>
  <c r="Q28" i="22"/>
  <c r="P28" i="22"/>
  <c r="X27" i="22"/>
  <c r="H28" i="22"/>
  <c r="G28" i="22"/>
  <c r="Y27" i="22"/>
  <c r="R24" i="8"/>
  <c r="K28" i="22"/>
  <c r="J28" i="22"/>
  <c r="T28" i="22"/>
  <c r="S28" i="22"/>
  <c r="N28" i="22"/>
  <c r="M28" i="22"/>
  <c r="E28" i="22"/>
  <c r="D28" i="22"/>
  <c r="X27" i="21"/>
  <c r="Y27" i="21"/>
  <c r="H28" i="21"/>
  <c r="G28" i="21"/>
  <c r="K28" i="21"/>
  <c r="J28" i="21"/>
  <c r="M28" i="21"/>
  <c r="N28" i="21"/>
  <c r="Q28" i="21"/>
  <c r="P28" i="21"/>
  <c r="E28" i="21"/>
  <c r="D28" i="21"/>
  <c r="T28" i="21"/>
  <c r="S28" i="21"/>
  <c r="Y28" i="20"/>
  <c r="K29" i="20"/>
  <c r="J29" i="20"/>
  <c r="N29" i="20"/>
  <c r="M29" i="20"/>
  <c r="E29" i="20"/>
  <c r="D29" i="20"/>
  <c r="T29" i="20"/>
  <c r="S29" i="20"/>
  <c r="Q29" i="20"/>
  <c r="P29" i="20"/>
  <c r="X28" i="20"/>
  <c r="H29" i="20"/>
  <c r="G29" i="20"/>
  <c r="Y28" i="18"/>
  <c r="T29" i="18"/>
  <c r="S29" i="18"/>
  <c r="H29" i="18"/>
  <c r="G29" i="18"/>
  <c r="K29" i="18"/>
  <c r="J29" i="18"/>
  <c r="N29" i="18"/>
  <c r="M29" i="18"/>
  <c r="Q29" i="18"/>
  <c r="P29" i="18"/>
  <c r="X28" i="18"/>
  <c r="E29" i="18"/>
  <c r="D29" i="18"/>
  <c r="O25" i="9"/>
  <c r="P25" i="9" s="1"/>
  <c r="I25" i="9"/>
  <c r="F25" i="9"/>
  <c r="L25" i="9"/>
  <c r="X23" i="9"/>
  <c r="H24" i="9"/>
  <c r="G24" i="9"/>
  <c r="K24" i="9"/>
  <c r="J24" i="9"/>
  <c r="Q24" i="9"/>
  <c r="M24" i="9"/>
  <c r="R25" i="9"/>
  <c r="N24" i="9"/>
  <c r="C25" i="9"/>
  <c r="B25" i="9"/>
  <c r="E24" i="9"/>
  <c r="D24" i="9"/>
  <c r="W23" i="9"/>
  <c r="U24" i="9"/>
  <c r="T24" i="9"/>
  <c r="S24" i="9"/>
  <c r="O24" i="8"/>
  <c r="P24" i="8" s="1"/>
  <c r="L24" i="8"/>
  <c r="I24" i="8" a="1"/>
  <c r="I24" i="8" s="1"/>
  <c r="F24" i="8" a="1"/>
  <c r="F24" i="8" s="1"/>
  <c r="K23" i="8"/>
  <c r="J23" i="8"/>
  <c r="G23" i="8"/>
  <c r="H23" i="8"/>
  <c r="N23" i="8"/>
  <c r="M23" i="8"/>
  <c r="X22" i="8"/>
  <c r="W22" i="8"/>
  <c r="Q23" i="8"/>
  <c r="E23" i="8"/>
  <c r="D23" i="8"/>
  <c r="C24" i="8"/>
  <c r="B24" i="8"/>
  <c r="S23" i="8"/>
  <c r="T23" i="8"/>
  <c r="U23" i="8"/>
  <c r="O30" i="22" l="1"/>
  <c r="I30" i="22"/>
  <c r="L31" i="22" s="1"/>
  <c r="R32" i="22" s="1"/>
  <c r="F30" i="22"/>
  <c r="O30" i="21"/>
  <c r="L30" i="21"/>
  <c r="R31" i="21" s="1"/>
  <c r="I30" i="21"/>
  <c r="F30" i="21"/>
  <c r="O31" i="20"/>
  <c r="I31" i="20"/>
  <c r="L32" i="20" s="1"/>
  <c r="R33" i="20" s="1"/>
  <c r="F31" i="20"/>
  <c r="O31" i="18"/>
  <c r="I31" i="18"/>
  <c r="L32" i="18" s="1"/>
  <c r="R33" i="18" s="1"/>
  <c r="F31" i="18"/>
  <c r="B29" i="22"/>
  <c r="U30" i="22" s="1"/>
  <c r="V29" i="22"/>
  <c r="V29" i="21"/>
  <c r="B29" i="21"/>
  <c r="U30" i="21" s="1"/>
  <c r="V30" i="20"/>
  <c r="B30" i="20"/>
  <c r="U31" i="20" s="1"/>
  <c r="V30" i="18"/>
  <c r="B30" i="18"/>
  <c r="U31" i="18" s="1"/>
  <c r="R25" i="8"/>
  <c r="X28" i="22"/>
  <c r="H29" i="22"/>
  <c r="G29" i="22"/>
  <c r="Y28" i="22"/>
  <c r="K29" i="22"/>
  <c r="J29" i="22"/>
  <c r="N29" i="22"/>
  <c r="M29" i="22"/>
  <c r="E29" i="22"/>
  <c r="D29" i="22"/>
  <c r="T29" i="22"/>
  <c r="S29" i="22"/>
  <c r="Q29" i="22"/>
  <c r="P29" i="22"/>
  <c r="X28" i="21"/>
  <c r="T29" i="21"/>
  <c r="S29" i="21"/>
  <c r="Y28" i="21"/>
  <c r="H29" i="21"/>
  <c r="G29" i="21"/>
  <c r="Q29" i="21"/>
  <c r="P29" i="21"/>
  <c r="K29" i="21"/>
  <c r="J29" i="21"/>
  <c r="M29" i="21"/>
  <c r="N29" i="21"/>
  <c r="E29" i="21"/>
  <c r="D29" i="21"/>
  <c r="K30" i="20"/>
  <c r="J30" i="20"/>
  <c r="N30" i="20"/>
  <c r="M30" i="20"/>
  <c r="E30" i="20"/>
  <c r="D30" i="20"/>
  <c r="X29" i="20"/>
  <c r="Q30" i="20"/>
  <c r="P30" i="20"/>
  <c r="G30" i="20"/>
  <c r="H30" i="20"/>
  <c r="Y29" i="20"/>
  <c r="S30" i="20"/>
  <c r="T30" i="20"/>
  <c r="M30" i="18"/>
  <c r="N30" i="18"/>
  <c r="Q30" i="18"/>
  <c r="P30" i="18"/>
  <c r="G30" i="18"/>
  <c r="H30" i="18"/>
  <c r="E30" i="18"/>
  <c r="D30" i="18"/>
  <c r="X29" i="18"/>
  <c r="S30" i="18"/>
  <c r="T30" i="18"/>
  <c r="K30" i="18"/>
  <c r="J30" i="18"/>
  <c r="Y29" i="18"/>
  <c r="O26" i="9"/>
  <c r="P26" i="9" s="1"/>
  <c r="L26" i="9"/>
  <c r="F26" i="9"/>
  <c r="I26" i="9"/>
  <c r="X24" i="9"/>
  <c r="W24" i="9"/>
  <c r="M25" i="9"/>
  <c r="R26" i="9"/>
  <c r="N25" i="9"/>
  <c r="U25" i="9"/>
  <c r="T25" i="9"/>
  <c r="S25" i="9"/>
  <c r="C26" i="9"/>
  <c r="B26" i="9"/>
  <c r="E25" i="9"/>
  <c r="D25" i="9"/>
  <c r="H25" i="9"/>
  <c r="G25" i="9"/>
  <c r="Q25" i="9"/>
  <c r="O25" i="8"/>
  <c r="P25" i="8" s="1"/>
  <c r="K25" i="9"/>
  <c r="J25" i="9"/>
  <c r="L25" i="8"/>
  <c r="I25" i="8" a="1"/>
  <c r="I25" i="8" s="1"/>
  <c r="F25" i="8" a="1"/>
  <c r="F25" i="8" s="1"/>
  <c r="S24" i="8"/>
  <c r="U24" i="8"/>
  <c r="T24" i="8"/>
  <c r="Q24" i="8"/>
  <c r="E24" i="8"/>
  <c r="D24" i="8"/>
  <c r="C25" i="8"/>
  <c r="B25" i="8"/>
  <c r="G24" i="8"/>
  <c r="H24" i="8"/>
  <c r="N24" i="8"/>
  <c r="M24" i="8"/>
  <c r="J24" i="8"/>
  <c r="K24" i="8"/>
  <c r="W23" i="8"/>
  <c r="X23" i="8"/>
  <c r="O31" i="22" l="1"/>
  <c r="L31" i="21"/>
  <c r="I31" i="22"/>
  <c r="L32" i="22" s="1"/>
  <c r="R33" i="22" s="1"/>
  <c r="F31" i="22"/>
  <c r="R26" i="8"/>
  <c r="O31" i="21"/>
  <c r="R32" i="21"/>
  <c r="I31" i="21"/>
  <c r="L32" i="21" s="1"/>
  <c r="F31" i="21"/>
  <c r="O32" i="20"/>
  <c r="I32" i="20"/>
  <c r="L33" i="20" s="1"/>
  <c r="F32" i="20"/>
  <c r="O32" i="18"/>
  <c r="I32" i="18"/>
  <c r="L33" i="18" s="1"/>
  <c r="F32" i="18"/>
  <c r="B30" i="22"/>
  <c r="U31" i="22" s="1"/>
  <c r="V30" i="22"/>
  <c r="V30" i="21"/>
  <c r="B30" i="21"/>
  <c r="U31" i="21" s="1"/>
  <c r="V31" i="20"/>
  <c r="B31" i="20"/>
  <c r="U32" i="20" s="1"/>
  <c r="V31" i="18"/>
  <c r="B31" i="18"/>
  <c r="U32" i="18" s="1"/>
  <c r="Y29" i="22"/>
  <c r="X29" i="22"/>
  <c r="G30" i="22"/>
  <c r="H30" i="22"/>
  <c r="S30" i="22"/>
  <c r="T30" i="22"/>
  <c r="K30" i="22"/>
  <c r="J30" i="22"/>
  <c r="N30" i="22"/>
  <c r="M30" i="22"/>
  <c r="E30" i="22"/>
  <c r="D30" i="22"/>
  <c r="Q30" i="22"/>
  <c r="P30" i="22"/>
  <c r="Y29" i="21"/>
  <c r="X29" i="21"/>
  <c r="H30" i="21"/>
  <c r="G30" i="21"/>
  <c r="Q30" i="21"/>
  <c r="P30" i="21"/>
  <c r="K30" i="21"/>
  <c r="J30" i="21"/>
  <c r="M30" i="21"/>
  <c r="N30" i="21"/>
  <c r="E30" i="21"/>
  <c r="D30" i="21"/>
  <c r="T30" i="21"/>
  <c r="S30" i="21"/>
  <c r="N31" i="20"/>
  <c r="M31" i="20"/>
  <c r="E31" i="20"/>
  <c r="D31" i="20"/>
  <c r="X30" i="20"/>
  <c r="H31" i="20"/>
  <c r="G31" i="20"/>
  <c r="Y30" i="20"/>
  <c r="K31" i="20"/>
  <c r="J31" i="20"/>
  <c r="Q31" i="20"/>
  <c r="P31" i="20"/>
  <c r="T31" i="20"/>
  <c r="S31" i="20"/>
  <c r="Y30" i="18"/>
  <c r="X30" i="18"/>
  <c r="K31" i="18"/>
  <c r="J31" i="18"/>
  <c r="H31" i="18"/>
  <c r="G31" i="18"/>
  <c r="Q31" i="18"/>
  <c r="P31" i="18"/>
  <c r="N31" i="18"/>
  <c r="M31" i="18"/>
  <c r="E31" i="18"/>
  <c r="D31" i="18"/>
  <c r="T31" i="18"/>
  <c r="S31" i="18"/>
  <c r="I27" i="9"/>
  <c r="L26" i="8"/>
  <c r="R27" i="8" s="1"/>
  <c r="F27" i="9"/>
  <c r="L27" i="9"/>
  <c r="O27" i="9"/>
  <c r="P27" i="9" s="1"/>
  <c r="M26" i="9"/>
  <c r="R27" i="9"/>
  <c r="N26" i="9"/>
  <c r="C27" i="9"/>
  <c r="B27" i="9"/>
  <c r="E26" i="9"/>
  <c r="D26" i="9"/>
  <c r="Q26" i="9"/>
  <c r="U26" i="9"/>
  <c r="T26" i="9"/>
  <c r="S26" i="9"/>
  <c r="H26" i="9"/>
  <c r="G26" i="9"/>
  <c r="W25" i="9"/>
  <c r="K26" i="9"/>
  <c r="J26" i="9"/>
  <c r="O26" i="8"/>
  <c r="P26" i="8" s="1"/>
  <c r="X25" i="9"/>
  <c r="I26" i="8" a="1"/>
  <c r="I26" i="8" s="1"/>
  <c r="F26" i="8" a="1"/>
  <c r="F26" i="8" s="1"/>
  <c r="X24" i="8"/>
  <c r="K25" i="8"/>
  <c r="J25" i="8"/>
  <c r="N25" i="8"/>
  <c r="M25" i="8"/>
  <c r="E25" i="8"/>
  <c r="D25" i="8"/>
  <c r="B26" i="8"/>
  <c r="C26" i="8"/>
  <c r="W24" i="8"/>
  <c r="Q25" i="8"/>
  <c r="H25" i="8"/>
  <c r="G25" i="8"/>
  <c r="U25" i="8"/>
  <c r="T25" i="8"/>
  <c r="S25" i="8"/>
  <c r="O32" i="22" l="1"/>
  <c r="I32" i="22"/>
  <c r="L33" i="22" s="1"/>
  <c r="F32" i="22"/>
  <c r="O32" i="21"/>
  <c r="R33" i="21"/>
  <c r="I32" i="21"/>
  <c r="L33" i="21" s="1"/>
  <c r="F32" i="21"/>
  <c r="O33" i="20"/>
  <c r="I33" i="20"/>
  <c r="F33" i="20"/>
  <c r="O33" i="18"/>
  <c r="I33" i="18"/>
  <c r="F33" i="18"/>
  <c r="B31" i="22"/>
  <c r="U32" i="22" s="1"/>
  <c r="V31" i="22"/>
  <c r="V31" i="21"/>
  <c r="B31" i="21"/>
  <c r="U32" i="21" s="1"/>
  <c r="V32" i="20"/>
  <c r="B32" i="20"/>
  <c r="U33" i="20" s="1"/>
  <c r="V32" i="18"/>
  <c r="B32" i="18"/>
  <c r="U33" i="18" s="1"/>
  <c r="K31" i="22"/>
  <c r="J31" i="22"/>
  <c r="T31" i="22"/>
  <c r="S31" i="22"/>
  <c r="N31" i="22"/>
  <c r="M31" i="22"/>
  <c r="E31" i="22"/>
  <c r="D31" i="22"/>
  <c r="X30" i="22"/>
  <c r="H31" i="22"/>
  <c r="G31" i="22"/>
  <c r="Q31" i="22"/>
  <c r="P31" i="22"/>
  <c r="Y30" i="22"/>
  <c r="E31" i="21"/>
  <c r="D31" i="21"/>
  <c r="T31" i="21"/>
  <c r="S31" i="21"/>
  <c r="X30" i="21"/>
  <c r="Y30" i="21"/>
  <c r="H31" i="21"/>
  <c r="G31" i="21"/>
  <c r="Q31" i="21"/>
  <c r="P31" i="21"/>
  <c r="K31" i="21"/>
  <c r="J31" i="21"/>
  <c r="M31" i="21"/>
  <c r="N31" i="21"/>
  <c r="N32" i="20"/>
  <c r="M32" i="20"/>
  <c r="E32" i="20"/>
  <c r="D32" i="20"/>
  <c r="X31" i="20"/>
  <c r="H32" i="20"/>
  <c r="G32" i="20"/>
  <c r="Y31" i="20"/>
  <c r="K32" i="20"/>
  <c r="J32" i="20"/>
  <c r="Q32" i="20"/>
  <c r="P32" i="20"/>
  <c r="T32" i="20"/>
  <c r="S32" i="20"/>
  <c r="K32" i="18"/>
  <c r="J32" i="18"/>
  <c r="T32" i="18"/>
  <c r="S32" i="18"/>
  <c r="Q32" i="18"/>
  <c r="P32" i="18"/>
  <c r="X31" i="18"/>
  <c r="E32" i="18"/>
  <c r="D32" i="18"/>
  <c r="N32" i="18"/>
  <c r="M32" i="18"/>
  <c r="Y31" i="18"/>
  <c r="H32" i="18"/>
  <c r="G32" i="18"/>
  <c r="L28" i="9"/>
  <c r="O28" i="9"/>
  <c r="P28" i="9" s="1"/>
  <c r="I28" i="9"/>
  <c r="F28" i="9"/>
  <c r="H27" i="9"/>
  <c r="G27" i="9"/>
  <c r="K27" i="9"/>
  <c r="J27" i="9"/>
  <c r="Q27" i="9"/>
  <c r="W26" i="9"/>
  <c r="M27" i="9"/>
  <c r="R28" i="9"/>
  <c r="N27" i="9"/>
  <c r="C28" i="9"/>
  <c r="B28" i="9"/>
  <c r="E27" i="9"/>
  <c r="D27" i="9"/>
  <c r="U27" i="9"/>
  <c r="T27" i="9"/>
  <c r="S27" i="9"/>
  <c r="X26" i="9"/>
  <c r="O27" i="8"/>
  <c r="P27" i="8" s="1"/>
  <c r="L27" i="8"/>
  <c r="R28" i="8" s="1"/>
  <c r="I27" i="8" a="1"/>
  <c r="I27" i="8" s="1"/>
  <c r="F27" i="8" a="1"/>
  <c r="F27" i="8" s="1"/>
  <c r="E26" i="8"/>
  <c r="D26" i="8"/>
  <c r="C27" i="8"/>
  <c r="B27" i="8"/>
  <c r="H26" i="8"/>
  <c r="G26" i="8"/>
  <c r="Q26" i="8"/>
  <c r="W25" i="8"/>
  <c r="K26" i="8"/>
  <c r="J26" i="8"/>
  <c r="M26" i="8"/>
  <c r="N26" i="8"/>
  <c r="X25" i="8"/>
  <c r="U26" i="8"/>
  <c r="T26" i="8"/>
  <c r="S26" i="8"/>
  <c r="O33" i="22" l="1"/>
  <c r="I33" i="22"/>
  <c r="F33" i="22"/>
  <c r="O33" i="21"/>
  <c r="I33" i="21"/>
  <c r="F33" i="21"/>
  <c r="B32" i="22"/>
  <c r="U33" i="22" s="1"/>
  <c r="V32" i="22"/>
  <c r="B33" i="18"/>
  <c r="B33" i="20"/>
  <c r="V32" i="21"/>
  <c r="B32" i="21"/>
  <c r="U33" i="21" s="1"/>
  <c r="V33" i="20"/>
  <c r="V33" i="18"/>
  <c r="X31" i="22"/>
  <c r="Y31" i="22"/>
  <c r="H32" i="22"/>
  <c r="G32" i="22"/>
  <c r="K32" i="22"/>
  <c r="J32" i="22"/>
  <c r="Q32" i="22"/>
  <c r="P32" i="22"/>
  <c r="T32" i="22"/>
  <c r="S32" i="22"/>
  <c r="N32" i="22"/>
  <c r="M32" i="22"/>
  <c r="E32" i="22"/>
  <c r="D32" i="22"/>
  <c r="T32" i="21"/>
  <c r="S32" i="21"/>
  <c r="X31" i="21"/>
  <c r="Y31" i="21"/>
  <c r="H32" i="21"/>
  <c r="G32" i="21"/>
  <c r="K32" i="21"/>
  <c r="J32" i="21"/>
  <c r="Q32" i="21"/>
  <c r="P32" i="21"/>
  <c r="M32" i="21"/>
  <c r="N32" i="21"/>
  <c r="E32" i="21"/>
  <c r="D32" i="21"/>
  <c r="E33" i="20"/>
  <c r="D33" i="20"/>
  <c r="X32" i="20"/>
  <c r="H33" i="20"/>
  <c r="G33" i="20"/>
  <c r="Y32" i="20"/>
  <c r="K33" i="20"/>
  <c r="J33" i="20"/>
  <c r="M33" i="20"/>
  <c r="N33" i="20"/>
  <c r="Q33" i="20"/>
  <c r="P33" i="20"/>
  <c r="T33" i="20"/>
  <c r="S33" i="20"/>
  <c r="Y32" i="18"/>
  <c r="K33" i="18"/>
  <c r="J33" i="18"/>
  <c r="G33" i="18"/>
  <c r="H33" i="18"/>
  <c r="M33" i="18"/>
  <c r="N33" i="18"/>
  <c r="T33" i="18"/>
  <c r="S33" i="18"/>
  <c r="E33" i="18"/>
  <c r="D33" i="18"/>
  <c r="Q33" i="18"/>
  <c r="P33" i="18"/>
  <c r="X32" i="18"/>
  <c r="F29" i="9"/>
  <c r="O29" i="9"/>
  <c r="P29" i="9" s="1"/>
  <c r="L29" i="9"/>
  <c r="I29" i="9"/>
  <c r="U28" i="9"/>
  <c r="T28" i="9"/>
  <c r="S28" i="9"/>
  <c r="C29" i="9"/>
  <c r="B29" i="9"/>
  <c r="E28" i="9"/>
  <c r="D28" i="9"/>
  <c r="X27" i="9"/>
  <c r="W27" i="9"/>
  <c r="H28" i="9"/>
  <c r="G28" i="9"/>
  <c r="K28" i="9"/>
  <c r="J28" i="9"/>
  <c r="Q28" i="9"/>
  <c r="L28" i="8"/>
  <c r="R29" i="8" s="1"/>
  <c r="M28" i="9"/>
  <c r="R29" i="9"/>
  <c r="N28" i="9"/>
  <c r="O28" i="8"/>
  <c r="P28" i="8" s="1"/>
  <c r="I28" i="8" a="1"/>
  <c r="I28" i="8" s="1"/>
  <c r="F28" i="8" a="1"/>
  <c r="F28" i="8" s="1"/>
  <c r="U27" i="8"/>
  <c r="T27" i="8"/>
  <c r="S27" i="8"/>
  <c r="X26" i="8"/>
  <c r="W26" i="8"/>
  <c r="K27" i="8"/>
  <c r="J27" i="8"/>
  <c r="Q27" i="8"/>
  <c r="C28" i="8"/>
  <c r="B28" i="8"/>
  <c r="D27" i="8"/>
  <c r="E27" i="8"/>
  <c r="H27" i="8"/>
  <c r="G27" i="8"/>
  <c r="M27" i="8"/>
  <c r="N27" i="8"/>
  <c r="B33" i="22" l="1"/>
  <c r="V33" i="22"/>
  <c r="V33" i="21"/>
  <c r="B33" i="21"/>
  <c r="T33" i="22"/>
  <c r="S33" i="22"/>
  <c r="E33" i="22"/>
  <c r="D33" i="22"/>
  <c r="X32" i="22"/>
  <c r="H33" i="22"/>
  <c r="G33" i="22"/>
  <c r="Y32" i="22"/>
  <c r="K33" i="22"/>
  <c r="J33" i="22"/>
  <c r="Q33" i="22"/>
  <c r="P33" i="22"/>
  <c r="M33" i="22"/>
  <c r="N33" i="22"/>
  <c r="Y32" i="21"/>
  <c r="X32" i="21"/>
  <c r="H33" i="21"/>
  <c r="G33" i="21"/>
  <c r="Q33" i="21"/>
  <c r="P33" i="21"/>
  <c r="K33" i="21"/>
  <c r="J33" i="21"/>
  <c r="M33" i="21"/>
  <c r="N33" i="21"/>
  <c r="E33" i="21"/>
  <c r="D33" i="21"/>
  <c r="T33" i="21"/>
  <c r="S33" i="21"/>
  <c r="X33" i="20"/>
  <c r="X34" i="20" s="1"/>
  <c r="Y33" i="20"/>
  <c r="Y34" i="20" s="1"/>
  <c r="C17" i="4" s="1"/>
  <c r="X33" i="18"/>
  <c r="X34" i="18" s="1"/>
  <c r="B16" i="4" s="1"/>
  <c r="Y33" i="18"/>
  <c r="Y34" i="18" s="1"/>
  <c r="C16" i="4" s="1"/>
  <c r="I30" i="9"/>
  <c r="F30" i="9"/>
  <c r="L30" i="9"/>
  <c r="O30" i="9"/>
  <c r="W28" i="9"/>
  <c r="U29" i="9"/>
  <c r="T29" i="9"/>
  <c r="S29" i="9"/>
  <c r="X28" i="9"/>
  <c r="K29" i="9"/>
  <c r="J29" i="9"/>
  <c r="M29" i="9"/>
  <c r="R30" i="9"/>
  <c r="N29" i="9"/>
  <c r="H29" i="9"/>
  <c r="G29" i="9"/>
  <c r="Q29" i="9"/>
  <c r="C30" i="9"/>
  <c r="B30" i="9"/>
  <c r="E29" i="9"/>
  <c r="D29" i="9"/>
  <c r="O29" i="8"/>
  <c r="P29" i="8" s="1"/>
  <c r="L29" i="8"/>
  <c r="R30" i="8" s="1"/>
  <c r="F29" i="8" a="1"/>
  <c r="F29" i="8" s="1"/>
  <c r="I29" i="8" a="1"/>
  <c r="I29" i="8" s="1"/>
  <c r="Q28" i="8"/>
  <c r="N28" i="8"/>
  <c r="M28" i="8"/>
  <c r="B29" i="8"/>
  <c r="C29" i="8"/>
  <c r="E28" i="8"/>
  <c r="D28" i="8"/>
  <c r="X27" i="8"/>
  <c r="K28" i="8"/>
  <c r="J28" i="8"/>
  <c r="U28" i="8"/>
  <c r="T28" i="8"/>
  <c r="S28" i="8"/>
  <c r="H28" i="8"/>
  <c r="G28" i="8"/>
  <c r="W27" i="8"/>
  <c r="B17" i="4" l="1"/>
  <c r="C4" i="10"/>
  <c r="C5" i="4"/>
  <c r="C12" i="4"/>
  <c r="C3" i="4"/>
  <c r="C10" i="4"/>
  <c r="B5" i="4"/>
  <c r="B12" i="4"/>
  <c r="B3" i="4"/>
  <c r="B10" i="4"/>
  <c r="X33" i="22"/>
  <c r="X34" i="22" s="1"/>
  <c r="B6" i="4" s="1"/>
  <c r="Y33" i="22"/>
  <c r="Y34" i="22" s="1"/>
  <c r="C6" i="4" s="1"/>
  <c r="Y33" i="21"/>
  <c r="Y34" i="21" s="1"/>
  <c r="X33" i="21"/>
  <c r="X34" i="21" s="1"/>
  <c r="L31" i="9"/>
  <c r="F31" i="9"/>
  <c r="I31" i="9"/>
  <c r="O31" i="9"/>
  <c r="P31" i="9" s="1"/>
  <c r="P30" i="9"/>
  <c r="L30" i="8"/>
  <c r="R31" i="8" s="1"/>
  <c r="W29" i="9"/>
  <c r="U30" i="9"/>
  <c r="T30" i="9"/>
  <c r="S30" i="9"/>
  <c r="F30" i="8" a="1"/>
  <c r="F30" i="8" s="1"/>
  <c r="M30" i="9"/>
  <c r="R31" i="9"/>
  <c r="N30" i="9"/>
  <c r="K30" i="9"/>
  <c r="J30" i="9"/>
  <c r="C31" i="9"/>
  <c r="B31" i="9"/>
  <c r="E30" i="9"/>
  <c r="D30" i="9"/>
  <c r="H30" i="9"/>
  <c r="G30" i="9"/>
  <c r="X29" i="9"/>
  <c r="Q30" i="9"/>
  <c r="O30" i="8"/>
  <c r="I30" i="8" a="1"/>
  <c r="I30" i="8" s="1"/>
  <c r="W28" i="8"/>
  <c r="E29" i="8"/>
  <c r="D29" i="8"/>
  <c r="C30" i="8"/>
  <c r="B30" i="8"/>
  <c r="S29" i="8"/>
  <c r="U29" i="8"/>
  <c r="T29" i="8"/>
  <c r="K29" i="8"/>
  <c r="J29" i="8"/>
  <c r="Q29" i="8"/>
  <c r="G29" i="8"/>
  <c r="H29" i="8"/>
  <c r="N29" i="8"/>
  <c r="M29" i="8"/>
  <c r="X28" i="8"/>
  <c r="C4" i="4" l="1"/>
  <c r="C11" i="4"/>
  <c r="B4" i="4"/>
  <c r="B11" i="4"/>
  <c r="L32" i="9"/>
  <c r="O32" i="9"/>
  <c r="P32" i="9" s="1"/>
  <c r="F32" i="9"/>
  <c r="I32" i="9"/>
  <c r="I31" i="8" a="1"/>
  <c r="I31" i="8" s="1"/>
  <c r="P30" i="8"/>
  <c r="U31" i="9"/>
  <c r="T31" i="9"/>
  <c r="S31" i="9"/>
  <c r="M31" i="9"/>
  <c r="R32" i="9"/>
  <c r="N31" i="9"/>
  <c r="W30" i="9"/>
  <c r="H31" i="9"/>
  <c r="G31" i="9"/>
  <c r="C32" i="9"/>
  <c r="B32" i="9"/>
  <c r="E31" i="9"/>
  <c r="D31" i="9"/>
  <c r="X30" i="9"/>
  <c r="K31" i="9"/>
  <c r="J31" i="9"/>
  <c r="Q31" i="9"/>
  <c r="L31" i="8"/>
  <c r="R32" i="8" s="1"/>
  <c r="O31" i="8"/>
  <c r="P31" i="8" s="1"/>
  <c r="F31" i="8" a="1"/>
  <c r="F31" i="8" s="1"/>
  <c r="W29" i="8"/>
  <c r="N30" i="8"/>
  <c r="M30" i="8"/>
  <c r="D30" i="8"/>
  <c r="E30" i="8"/>
  <c r="C31" i="8"/>
  <c r="B31" i="8"/>
  <c r="K30" i="8"/>
  <c r="J30" i="8"/>
  <c r="Q30" i="8"/>
  <c r="G30" i="8"/>
  <c r="H30" i="8"/>
  <c r="S30" i="8"/>
  <c r="U30" i="8"/>
  <c r="T30" i="8"/>
  <c r="X29" i="8"/>
  <c r="E11" i="4" l="1"/>
  <c r="E12" i="4"/>
  <c r="D12" i="4"/>
  <c r="D11" i="4"/>
  <c r="F33" i="9"/>
  <c r="L33" i="9"/>
  <c r="L32" i="8"/>
  <c r="R33" i="8" s="1"/>
  <c r="O32" i="8"/>
  <c r="P32" i="8" s="1"/>
  <c r="O33" i="9"/>
  <c r="P33" i="9" s="1"/>
  <c r="I33" i="9"/>
  <c r="Q32" i="9"/>
  <c r="W31" i="9"/>
  <c r="U32" i="9"/>
  <c r="T32" i="9"/>
  <c r="S32" i="9"/>
  <c r="I32" i="8" a="1"/>
  <c r="I32" i="8" s="1"/>
  <c r="X31" i="9"/>
  <c r="C33" i="9"/>
  <c r="B33" i="9"/>
  <c r="E32" i="9"/>
  <c r="D32" i="9"/>
  <c r="H32" i="9"/>
  <c r="G32" i="9"/>
  <c r="K32" i="9"/>
  <c r="J32" i="9"/>
  <c r="F32" i="8" a="1"/>
  <c r="F32" i="8" s="1"/>
  <c r="M32" i="9"/>
  <c r="R33" i="9"/>
  <c r="N32" i="9"/>
  <c r="X30" i="8"/>
  <c r="W30" i="8"/>
  <c r="H31" i="8"/>
  <c r="G31" i="8"/>
  <c r="N31" i="8"/>
  <c r="M31" i="8"/>
  <c r="K31" i="8"/>
  <c r="J31" i="8"/>
  <c r="E31" i="8"/>
  <c r="D31" i="8"/>
  <c r="B32" i="8"/>
  <c r="C32" i="8"/>
  <c r="Q31" i="8"/>
  <c r="U31" i="8"/>
  <c r="T31" i="8"/>
  <c r="S31" i="8"/>
  <c r="F11" i="4" l="1"/>
  <c r="F12" i="4"/>
  <c r="L33" i="8"/>
  <c r="I33" i="8" a="1"/>
  <c r="I33" i="8" s="1"/>
  <c r="U33" i="9"/>
  <c r="T33" i="9"/>
  <c r="S33" i="9"/>
  <c r="F33" i="8" a="1"/>
  <c r="F33" i="8" s="1"/>
  <c r="M33" i="9"/>
  <c r="N33" i="9"/>
  <c r="W32" i="9"/>
  <c r="E33" i="9"/>
  <c r="D33" i="9"/>
  <c r="Q33" i="9"/>
  <c r="X32" i="9"/>
  <c r="O33" i="8"/>
  <c r="P33" i="8" s="1"/>
  <c r="H33" i="9"/>
  <c r="G33" i="9"/>
  <c r="K33" i="9"/>
  <c r="J33" i="9"/>
  <c r="X31" i="8"/>
  <c r="U32" i="8"/>
  <c r="T32" i="8"/>
  <c r="S32" i="8"/>
  <c r="M32" i="8"/>
  <c r="N32" i="8"/>
  <c r="K32" i="8"/>
  <c r="J32" i="8"/>
  <c r="E32" i="8"/>
  <c r="D32" i="8"/>
  <c r="C33" i="8"/>
  <c r="B33" i="8"/>
  <c r="Q32" i="8"/>
  <c r="W31" i="8"/>
  <c r="H32" i="8"/>
  <c r="G32" i="8"/>
  <c r="X33" i="9" l="1"/>
  <c r="X34" i="9" s="1"/>
  <c r="W33" i="9"/>
  <c r="W34" i="9" s="1"/>
  <c r="X32" i="8"/>
  <c r="H33" i="8"/>
  <c r="G33" i="8"/>
  <c r="M33" i="8"/>
  <c r="N33" i="8"/>
  <c r="K33" i="8"/>
  <c r="J33" i="8"/>
  <c r="D33" i="8"/>
  <c r="E33" i="8"/>
  <c r="Q33" i="8"/>
  <c r="U33" i="8"/>
  <c r="T33" i="8"/>
  <c r="S33" i="8"/>
  <c r="W32" i="8"/>
  <c r="X33" i="8" l="1"/>
  <c r="X34" i="8" s="1"/>
  <c r="W33" i="8"/>
  <c r="W34" i="8" s="1"/>
  <c r="R4" i="3" l="1"/>
  <c r="B3" i="3"/>
  <c r="O4" i="3"/>
  <c r="R4" i="6"/>
  <c r="B3" i="6"/>
  <c r="C3" i="6" s="1"/>
  <c r="E3" i="6" s="1"/>
  <c r="X3" i="6" s="1"/>
  <c r="W3" i="6"/>
  <c r="W3" i="3"/>
  <c r="Q4" i="3" l="1"/>
  <c r="P4" i="3"/>
  <c r="T4" i="6"/>
  <c r="S4" i="6"/>
  <c r="S4" i="3"/>
  <c r="T4" i="3"/>
  <c r="F4" i="6"/>
  <c r="I4" i="6"/>
  <c r="C4" i="6"/>
  <c r="B4" i="6"/>
  <c r="C3" i="3"/>
  <c r="E3" i="3" s="1"/>
  <c r="X3" i="3" s="1"/>
  <c r="U3" i="6"/>
  <c r="L4" i="6"/>
  <c r="E4" i="6" l="1"/>
  <c r="D4" i="6"/>
  <c r="H4" i="6"/>
  <c r="G4" i="6"/>
  <c r="K4" i="6"/>
  <c r="J4" i="6"/>
  <c r="N4" i="6"/>
  <c r="M4" i="6"/>
  <c r="O5" i="6"/>
  <c r="L5" i="6"/>
  <c r="I5" i="6"/>
  <c r="F5" i="6"/>
  <c r="F4" i="3"/>
  <c r="G4" i="3" s="1"/>
  <c r="C4" i="3"/>
  <c r="I4" i="3"/>
  <c r="L4" i="3"/>
  <c r="B4" i="3"/>
  <c r="U3" i="3"/>
  <c r="C5" i="6"/>
  <c r="B5" i="6"/>
  <c r="U4" i="6"/>
  <c r="R5" i="6"/>
  <c r="N5" i="6" l="1"/>
  <c r="M5" i="6"/>
  <c r="K5" i="6"/>
  <c r="J5" i="6"/>
  <c r="T5" i="6"/>
  <c r="S5" i="6"/>
  <c r="H5" i="6"/>
  <c r="G5" i="6"/>
  <c r="M4" i="3"/>
  <c r="N4" i="3"/>
  <c r="Q5" i="6"/>
  <c r="P5" i="6"/>
  <c r="D5" i="6"/>
  <c r="E5" i="6"/>
  <c r="E4" i="3"/>
  <c r="D4" i="3"/>
  <c r="K4" i="3"/>
  <c r="J4" i="3"/>
  <c r="H4" i="3"/>
  <c r="I6" i="6"/>
  <c r="F6" i="6"/>
  <c r="L6" i="6"/>
  <c r="O6" i="6"/>
  <c r="U4" i="3"/>
  <c r="X4" i="6"/>
  <c r="R5" i="3"/>
  <c r="W4" i="6"/>
  <c r="I5" i="3"/>
  <c r="L5" i="3"/>
  <c r="C5" i="3"/>
  <c r="F5" i="3"/>
  <c r="B5" i="3"/>
  <c r="O5" i="3"/>
  <c r="C6" i="6"/>
  <c r="B6" i="6"/>
  <c r="R6" i="6"/>
  <c r="U5" i="6"/>
  <c r="K6" i="6" l="1"/>
  <c r="J6" i="6"/>
  <c r="F7" i="6"/>
  <c r="D6" i="6"/>
  <c r="E6" i="6"/>
  <c r="H6" i="6"/>
  <c r="G6" i="6"/>
  <c r="D5" i="3"/>
  <c r="E5" i="3"/>
  <c r="G5" i="3"/>
  <c r="H5" i="3"/>
  <c r="Q6" i="6"/>
  <c r="P6" i="6"/>
  <c r="M5" i="3"/>
  <c r="N5" i="3"/>
  <c r="S5" i="3"/>
  <c r="T5" i="3"/>
  <c r="N6" i="6"/>
  <c r="M6" i="6"/>
  <c r="J5" i="3"/>
  <c r="K5" i="3"/>
  <c r="P5" i="3"/>
  <c r="Q5" i="3"/>
  <c r="T6" i="6"/>
  <c r="S6" i="6"/>
  <c r="O7" i="6"/>
  <c r="L7" i="6"/>
  <c r="I7" i="6"/>
  <c r="X4" i="3"/>
  <c r="B6" i="3"/>
  <c r="L6" i="3"/>
  <c r="C6" i="3"/>
  <c r="F6" i="3"/>
  <c r="I6" i="3"/>
  <c r="W4" i="3"/>
  <c r="R6" i="3"/>
  <c r="O6" i="3"/>
  <c r="U5" i="3"/>
  <c r="U6" i="6"/>
  <c r="W5" i="6"/>
  <c r="R7" i="6"/>
  <c r="X5" i="6"/>
  <c r="C7" i="6"/>
  <c r="B7" i="6"/>
  <c r="F8" i="6" l="1"/>
  <c r="H8" i="6" s="1"/>
  <c r="S6" i="3"/>
  <c r="T6" i="3"/>
  <c r="G6" i="3"/>
  <c r="H6" i="3"/>
  <c r="M6" i="3"/>
  <c r="N6" i="3"/>
  <c r="T7" i="6"/>
  <c r="S7" i="6"/>
  <c r="J6" i="3"/>
  <c r="K6" i="3"/>
  <c r="N7" i="6"/>
  <c r="M7" i="6"/>
  <c r="H7" i="6"/>
  <c r="G7" i="6"/>
  <c r="D6" i="3"/>
  <c r="E6" i="3"/>
  <c r="O8" i="6"/>
  <c r="J7" i="6"/>
  <c r="K7" i="6"/>
  <c r="Q7" i="6"/>
  <c r="P7" i="6"/>
  <c r="D7" i="6"/>
  <c r="E7" i="6"/>
  <c r="P6" i="3"/>
  <c r="Q6" i="3"/>
  <c r="I8" i="6"/>
  <c r="L8" i="6"/>
  <c r="U6" i="3"/>
  <c r="W5" i="3"/>
  <c r="O7" i="3"/>
  <c r="F7" i="3"/>
  <c r="B7" i="3"/>
  <c r="I7" i="3"/>
  <c r="L7" i="3"/>
  <c r="C7" i="3"/>
  <c r="R7" i="3"/>
  <c r="X5" i="3"/>
  <c r="W6" i="6"/>
  <c r="U7" i="6"/>
  <c r="X6" i="6"/>
  <c r="C8" i="6"/>
  <c r="B8" i="6"/>
  <c r="R8" i="6"/>
  <c r="G8" i="6" l="1"/>
  <c r="M7" i="3"/>
  <c r="N7" i="3"/>
  <c r="T8" i="6"/>
  <c r="S8" i="6"/>
  <c r="J7" i="3"/>
  <c r="K7" i="3"/>
  <c r="P7" i="3"/>
  <c r="Q7" i="3"/>
  <c r="G7" i="3"/>
  <c r="H7" i="3"/>
  <c r="K8" i="6"/>
  <c r="J8" i="6"/>
  <c r="Q8" i="6"/>
  <c r="P8" i="6"/>
  <c r="S7" i="3"/>
  <c r="T7" i="3"/>
  <c r="I9" i="6"/>
  <c r="E8" i="6"/>
  <c r="D8" i="6"/>
  <c r="M8" i="6"/>
  <c r="N8" i="6"/>
  <c r="D7" i="3"/>
  <c r="E7" i="3"/>
  <c r="F9" i="6"/>
  <c r="L9" i="6"/>
  <c r="O9" i="6"/>
  <c r="X6" i="3"/>
  <c r="U7" i="3"/>
  <c r="W6" i="3"/>
  <c r="O8" i="3"/>
  <c r="R8" i="3"/>
  <c r="C8" i="3"/>
  <c r="I8" i="3"/>
  <c r="L8" i="3"/>
  <c r="F8" i="3"/>
  <c r="B8" i="3"/>
  <c r="X7" i="6"/>
  <c r="U8" i="6"/>
  <c r="W7" i="6"/>
  <c r="C9" i="6"/>
  <c r="B9" i="6"/>
  <c r="R9" i="6"/>
  <c r="I10" i="6" l="1"/>
  <c r="K10" i="6" s="1"/>
  <c r="J8" i="3"/>
  <c r="K8" i="3"/>
  <c r="M8" i="3"/>
  <c r="N8" i="3"/>
  <c r="H9" i="6"/>
  <c r="G9" i="6"/>
  <c r="S8" i="3"/>
  <c r="T8" i="3"/>
  <c r="D8" i="3"/>
  <c r="E8" i="3"/>
  <c r="K9" i="6"/>
  <c r="J9" i="6"/>
  <c r="G8" i="3"/>
  <c r="H8" i="3"/>
  <c r="P8" i="3"/>
  <c r="Q8" i="3"/>
  <c r="L10" i="6"/>
  <c r="E9" i="6"/>
  <c r="D9" i="6"/>
  <c r="Q9" i="6"/>
  <c r="P9" i="6"/>
  <c r="T9" i="6"/>
  <c r="S9" i="6"/>
  <c r="N9" i="6"/>
  <c r="M9" i="6"/>
  <c r="O10" i="6"/>
  <c r="F10" i="6"/>
  <c r="X7" i="3"/>
  <c r="O9" i="3"/>
  <c r="U8" i="3"/>
  <c r="R9" i="3"/>
  <c r="F9" i="3"/>
  <c r="B9" i="3"/>
  <c r="C9" i="3"/>
  <c r="I9" i="3"/>
  <c r="L9" i="3"/>
  <c r="W7" i="3"/>
  <c r="U9" i="6"/>
  <c r="W8" i="6"/>
  <c r="X8" i="6"/>
  <c r="R10" i="6"/>
  <c r="C10" i="6"/>
  <c r="B10" i="6"/>
  <c r="F11" i="6" l="1"/>
  <c r="G11" i="6" s="1"/>
  <c r="J10" i="6"/>
  <c r="N10" i="6"/>
  <c r="M10" i="6"/>
  <c r="D9" i="3"/>
  <c r="E9" i="3"/>
  <c r="G9" i="3"/>
  <c r="H9" i="3"/>
  <c r="T10" i="6"/>
  <c r="S10" i="6"/>
  <c r="O11" i="6"/>
  <c r="H10" i="6"/>
  <c r="G10" i="6"/>
  <c r="S9" i="3"/>
  <c r="T9" i="3"/>
  <c r="Q10" i="6"/>
  <c r="P10" i="6"/>
  <c r="M9" i="3"/>
  <c r="N9" i="3"/>
  <c r="L11" i="6"/>
  <c r="D10" i="6"/>
  <c r="E10" i="6"/>
  <c r="P9" i="3"/>
  <c r="Q9" i="3"/>
  <c r="J9" i="3"/>
  <c r="K9" i="3"/>
  <c r="I11" i="6"/>
  <c r="X8" i="3"/>
  <c r="U9" i="3"/>
  <c r="W8" i="3"/>
  <c r="R10" i="3"/>
  <c r="I10" i="3"/>
  <c r="L10" i="3"/>
  <c r="C10" i="3"/>
  <c r="F10" i="3"/>
  <c r="B10" i="3"/>
  <c r="O10" i="3"/>
  <c r="W9" i="6"/>
  <c r="X9" i="6"/>
  <c r="U10" i="6"/>
  <c r="R11" i="6"/>
  <c r="C11" i="6"/>
  <c r="B11" i="6"/>
  <c r="H11" i="6" l="1"/>
  <c r="D10" i="3"/>
  <c r="E10" i="3"/>
  <c r="P11" i="6"/>
  <c r="Q11" i="6"/>
  <c r="S10" i="3"/>
  <c r="T10" i="3"/>
  <c r="H10" i="3"/>
  <c r="G10" i="3"/>
  <c r="M11" i="6"/>
  <c r="N11" i="6"/>
  <c r="I12" i="6"/>
  <c r="D11" i="6"/>
  <c r="E11" i="6"/>
  <c r="S11" i="6"/>
  <c r="T11" i="6"/>
  <c r="M10" i="3"/>
  <c r="N10" i="3"/>
  <c r="J11" i="6"/>
  <c r="K11" i="6"/>
  <c r="J10" i="3"/>
  <c r="K10" i="3"/>
  <c r="P10" i="3"/>
  <c r="Q10" i="3"/>
  <c r="L12" i="6"/>
  <c r="F12" i="6"/>
  <c r="O12" i="6"/>
  <c r="X9" i="3"/>
  <c r="O11" i="3"/>
  <c r="C11" i="3"/>
  <c r="B11" i="3"/>
  <c r="I11" i="3"/>
  <c r="F11" i="3"/>
  <c r="L11" i="3"/>
  <c r="W9" i="3"/>
  <c r="U10" i="3"/>
  <c r="R11" i="3"/>
  <c r="R12" i="6"/>
  <c r="C12" i="6"/>
  <c r="B12" i="6"/>
  <c r="X10" i="6"/>
  <c r="U11" i="6"/>
  <c r="W10" i="6"/>
  <c r="S11" i="3" l="1"/>
  <c r="T11" i="3"/>
  <c r="M12" i="6"/>
  <c r="N12" i="6"/>
  <c r="D11" i="3"/>
  <c r="E11" i="3"/>
  <c r="M11" i="3"/>
  <c r="N11" i="3"/>
  <c r="J12" i="6"/>
  <c r="K12" i="6"/>
  <c r="J11" i="3"/>
  <c r="K11" i="3"/>
  <c r="Q12" i="6"/>
  <c r="P12" i="6"/>
  <c r="G11" i="3"/>
  <c r="H11" i="3"/>
  <c r="P11" i="3"/>
  <c r="Q11" i="3"/>
  <c r="L13" i="6"/>
  <c r="E12" i="6"/>
  <c r="D12" i="6"/>
  <c r="S12" i="6"/>
  <c r="T12" i="6"/>
  <c r="H12" i="6"/>
  <c r="G12" i="6"/>
  <c r="O13" i="6"/>
  <c r="F13" i="6"/>
  <c r="I13" i="6"/>
  <c r="X10" i="3"/>
  <c r="W10" i="3"/>
  <c r="R12" i="3"/>
  <c r="O12" i="3"/>
  <c r="F12" i="3"/>
  <c r="L12" i="3"/>
  <c r="B12" i="3"/>
  <c r="I12" i="3"/>
  <c r="C12" i="3"/>
  <c r="U11" i="3"/>
  <c r="R13" i="6"/>
  <c r="W11" i="6"/>
  <c r="U12" i="6"/>
  <c r="C13" i="6"/>
  <c r="B13" i="6"/>
  <c r="X11" i="6"/>
  <c r="M12" i="3" l="1"/>
  <c r="N12" i="3"/>
  <c r="P12" i="3"/>
  <c r="Q12" i="3"/>
  <c r="J12" i="3"/>
  <c r="K12" i="3"/>
  <c r="F14" i="6"/>
  <c r="E13" i="6"/>
  <c r="D13" i="6"/>
  <c r="M13" i="6"/>
  <c r="N13" i="6"/>
  <c r="T13" i="6"/>
  <c r="S13" i="6"/>
  <c r="G12" i="3"/>
  <c r="H12" i="3"/>
  <c r="S12" i="3"/>
  <c r="T12" i="3"/>
  <c r="J13" i="6"/>
  <c r="K13" i="6"/>
  <c r="G13" i="6"/>
  <c r="H13" i="6"/>
  <c r="P13" i="6"/>
  <c r="Q13" i="6"/>
  <c r="D12" i="3"/>
  <c r="E12" i="3"/>
  <c r="L14" i="6"/>
  <c r="I14" i="6"/>
  <c r="O14" i="6"/>
  <c r="X11" i="3"/>
  <c r="R13" i="3"/>
  <c r="O13" i="3"/>
  <c r="W11" i="3"/>
  <c r="U12" i="3"/>
  <c r="B13" i="3"/>
  <c r="L13" i="3"/>
  <c r="C13" i="3"/>
  <c r="F13" i="3"/>
  <c r="I13" i="3"/>
  <c r="C14" i="6"/>
  <c r="B14" i="6"/>
  <c r="R14" i="6"/>
  <c r="W12" i="6"/>
  <c r="U13" i="6"/>
  <c r="X12" i="6"/>
  <c r="D13" i="3" l="1"/>
  <c r="E13" i="3"/>
  <c r="G14" i="6"/>
  <c r="H14" i="6"/>
  <c r="M13" i="3"/>
  <c r="N13" i="3"/>
  <c r="P14" i="6"/>
  <c r="Q14" i="6"/>
  <c r="S13" i="3"/>
  <c r="T13" i="3"/>
  <c r="J14" i="6"/>
  <c r="K14" i="6"/>
  <c r="S14" i="6"/>
  <c r="T14" i="6"/>
  <c r="J13" i="3"/>
  <c r="K13" i="3"/>
  <c r="M14" i="6"/>
  <c r="N14" i="6"/>
  <c r="P13" i="3"/>
  <c r="Q13" i="3"/>
  <c r="E14" i="6"/>
  <c r="D14" i="6"/>
  <c r="G13" i="3"/>
  <c r="H13" i="3"/>
  <c r="L15" i="6"/>
  <c r="F15" i="6"/>
  <c r="O15" i="6"/>
  <c r="I15" i="6"/>
  <c r="L14" i="3"/>
  <c r="C14" i="3"/>
  <c r="B14" i="3"/>
  <c r="F14" i="3"/>
  <c r="I14" i="3"/>
  <c r="R14" i="3"/>
  <c r="O14" i="3"/>
  <c r="X12" i="3"/>
  <c r="W12" i="3"/>
  <c r="U13" i="3"/>
  <c r="X13" i="6"/>
  <c r="W13" i="6"/>
  <c r="U14" i="6"/>
  <c r="R15" i="6"/>
  <c r="C15" i="6"/>
  <c r="B15" i="6"/>
  <c r="J14" i="3" l="1"/>
  <c r="K14" i="3"/>
  <c r="G14" i="3"/>
  <c r="H14" i="3"/>
  <c r="S14" i="3"/>
  <c r="T14" i="3"/>
  <c r="F16" i="6"/>
  <c r="E15" i="6"/>
  <c r="D15" i="6"/>
  <c r="S15" i="6"/>
  <c r="T15" i="6"/>
  <c r="M14" i="3"/>
  <c r="N14" i="3"/>
  <c r="J15" i="6"/>
  <c r="K15" i="6"/>
  <c r="G15" i="6"/>
  <c r="H15" i="6"/>
  <c r="P14" i="3"/>
  <c r="Q14" i="3"/>
  <c r="D14" i="3"/>
  <c r="E14" i="3"/>
  <c r="P15" i="6"/>
  <c r="Q15" i="6"/>
  <c r="M15" i="6"/>
  <c r="N15" i="6"/>
  <c r="L16" i="6"/>
  <c r="O16" i="6"/>
  <c r="I16" i="6"/>
  <c r="W13" i="3"/>
  <c r="B15" i="3"/>
  <c r="I15" i="3"/>
  <c r="L15" i="3"/>
  <c r="C15" i="3"/>
  <c r="F15" i="3"/>
  <c r="U14" i="3"/>
  <c r="X13" i="3"/>
  <c r="O15" i="3"/>
  <c r="R15" i="3"/>
  <c r="X14" i="6"/>
  <c r="W14" i="6"/>
  <c r="U15" i="6"/>
  <c r="C16" i="6"/>
  <c r="B16" i="6"/>
  <c r="R16" i="6"/>
  <c r="G15" i="3" l="1"/>
  <c r="H15" i="3"/>
  <c r="G16" i="6"/>
  <c r="H16" i="6"/>
  <c r="D15" i="3"/>
  <c r="E15" i="3"/>
  <c r="F17" i="6"/>
  <c r="E16" i="6"/>
  <c r="D16" i="6"/>
  <c r="M15" i="3"/>
  <c r="N15" i="3"/>
  <c r="J15" i="3"/>
  <c r="K15" i="3"/>
  <c r="S15" i="3"/>
  <c r="T15" i="3"/>
  <c r="M16" i="6"/>
  <c r="N16" i="6"/>
  <c r="S16" i="6"/>
  <c r="T16" i="6"/>
  <c r="J16" i="6"/>
  <c r="K16" i="6"/>
  <c r="P16" i="6"/>
  <c r="Q16" i="6"/>
  <c r="P15" i="3"/>
  <c r="Q15" i="3"/>
  <c r="L17" i="6"/>
  <c r="I17" i="6"/>
  <c r="O17" i="6"/>
  <c r="O16" i="3"/>
  <c r="X14" i="3"/>
  <c r="U15" i="3"/>
  <c r="W14" i="3"/>
  <c r="I16" i="3"/>
  <c r="L16" i="3"/>
  <c r="F16" i="3"/>
  <c r="B16" i="3"/>
  <c r="C16" i="3"/>
  <c r="R16" i="3"/>
  <c r="X15" i="6"/>
  <c r="R17" i="6"/>
  <c r="U16" i="6"/>
  <c r="W15" i="6"/>
  <c r="C17" i="6"/>
  <c r="B17" i="6"/>
  <c r="M16" i="3" l="1"/>
  <c r="N16" i="3"/>
  <c r="G16" i="3"/>
  <c r="H16" i="3"/>
  <c r="H17" i="6"/>
  <c r="G17" i="6"/>
  <c r="Q17" i="6"/>
  <c r="P17" i="6"/>
  <c r="K16" i="3"/>
  <c r="J16" i="3"/>
  <c r="D17" i="6"/>
  <c r="E17" i="6"/>
  <c r="P16" i="3"/>
  <c r="Q16" i="3"/>
  <c r="T17" i="6"/>
  <c r="S17" i="6"/>
  <c r="K17" i="6"/>
  <c r="J17" i="6"/>
  <c r="N17" i="6"/>
  <c r="M17" i="6"/>
  <c r="S16" i="3"/>
  <c r="T16" i="3"/>
  <c r="E16" i="3"/>
  <c r="D16" i="3"/>
  <c r="X15" i="3"/>
  <c r="L18" i="6"/>
  <c r="F18" i="6"/>
  <c r="O18" i="6"/>
  <c r="I18" i="6"/>
  <c r="R17" i="3"/>
  <c r="U16" i="3"/>
  <c r="O17" i="3"/>
  <c r="W15" i="3"/>
  <c r="F17" i="3"/>
  <c r="I17" i="3"/>
  <c r="B17" i="3"/>
  <c r="L17" i="3"/>
  <c r="C17" i="3"/>
  <c r="X16" i="6"/>
  <c r="W16" i="6"/>
  <c r="R18" i="6"/>
  <c r="C18" i="6"/>
  <c r="B18" i="6"/>
  <c r="U17" i="6"/>
  <c r="G17" i="3" l="1"/>
  <c r="H17" i="3"/>
  <c r="J17" i="3"/>
  <c r="K17" i="3"/>
  <c r="P17" i="3"/>
  <c r="Q17" i="3"/>
  <c r="I19" i="6"/>
  <c r="D18" i="6"/>
  <c r="E18" i="6"/>
  <c r="T18" i="6"/>
  <c r="S18" i="6"/>
  <c r="Q18" i="6"/>
  <c r="P18" i="6"/>
  <c r="H18" i="6"/>
  <c r="G18" i="6"/>
  <c r="K18" i="6"/>
  <c r="J18" i="6"/>
  <c r="D17" i="3"/>
  <c r="E17" i="3"/>
  <c r="S17" i="3"/>
  <c r="T17" i="3"/>
  <c r="M18" i="6"/>
  <c r="N18" i="6"/>
  <c r="M17" i="3"/>
  <c r="N17" i="3"/>
  <c r="F19" i="6"/>
  <c r="L19" i="6"/>
  <c r="O19" i="6"/>
  <c r="F18" i="3"/>
  <c r="B18" i="3"/>
  <c r="I18" i="3"/>
  <c r="L18" i="3"/>
  <c r="C18" i="3"/>
  <c r="R18" i="3"/>
  <c r="W16" i="3"/>
  <c r="X16" i="3"/>
  <c r="U17" i="3"/>
  <c r="O18" i="3"/>
  <c r="W17" i="6"/>
  <c r="U18" i="6"/>
  <c r="R19" i="6"/>
  <c r="C19" i="6"/>
  <c r="B19" i="6"/>
  <c r="X17" i="6"/>
  <c r="K19" i="6" l="1"/>
  <c r="J19" i="6"/>
  <c r="S18" i="3"/>
  <c r="T18" i="3"/>
  <c r="M18" i="3"/>
  <c r="N18" i="3"/>
  <c r="T19" i="6"/>
  <c r="S19" i="6"/>
  <c r="L20" i="6"/>
  <c r="D19" i="6"/>
  <c r="E19" i="6"/>
  <c r="P19" i="6"/>
  <c r="Q19" i="6"/>
  <c r="J18" i="3"/>
  <c r="K18" i="3"/>
  <c r="G18" i="3"/>
  <c r="H18" i="3"/>
  <c r="P18" i="3"/>
  <c r="Q18" i="3"/>
  <c r="G19" i="6"/>
  <c r="H19" i="6"/>
  <c r="D18" i="3"/>
  <c r="E18" i="3"/>
  <c r="N19" i="6"/>
  <c r="M19" i="6"/>
  <c r="F20" i="6"/>
  <c r="O20" i="6"/>
  <c r="I20" i="6"/>
  <c r="U18" i="3"/>
  <c r="W17" i="3"/>
  <c r="X17" i="3"/>
  <c r="B19" i="3"/>
  <c r="F19" i="3"/>
  <c r="C19" i="3"/>
  <c r="I19" i="3"/>
  <c r="L19" i="3"/>
  <c r="R19" i="3"/>
  <c r="O19" i="3"/>
  <c r="W18" i="6"/>
  <c r="X18" i="6"/>
  <c r="U19" i="6"/>
  <c r="R20" i="6"/>
  <c r="C20" i="6"/>
  <c r="B20" i="6"/>
  <c r="G19" i="3" l="1"/>
  <c r="H19" i="3"/>
  <c r="M19" i="3"/>
  <c r="N19" i="3"/>
  <c r="D19" i="3"/>
  <c r="E19" i="3"/>
  <c r="J19" i="3"/>
  <c r="K19" i="3"/>
  <c r="N20" i="6"/>
  <c r="M20" i="6"/>
  <c r="O21" i="6"/>
  <c r="K20" i="6"/>
  <c r="J20" i="6"/>
  <c r="P19" i="3"/>
  <c r="Q19" i="3"/>
  <c r="I21" i="6"/>
  <c r="D20" i="6"/>
  <c r="E20" i="6"/>
  <c r="T20" i="6"/>
  <c r="S20" i="6"/>
  <c r="Q20" i="6"/>
  <c r="P20" i="6"/>
  <c r="H20" i="6"/>
  <c r="G20" i="6"/>
  <c r="S19" i="3"/>
  <c r="T19" i="3"/>
  <c r="X18" i="3"/>
  <c r="F21" i="6"/>
  <c r="L21" i="6"/>
  <c r="R20" i="3"/>
  <c r="X19" i="6"/>
  <c r="O20" i="3"/>
  <c r="W18" i="3"/>
  <c r="F20" i="3"/>
  <c r="B20" i="3"/>
  <c r="C20" i="3"/>
  <c r="I20" i="3"/>
  <c r="L20" i="3"/>
  <c r="U19" i="3"/>
  <c r="W19" i="6"/>
  <c r="U20" i="6"/>
  <c r="R21" i="6"/>
  <c r="C21" i="6"/>
  <c r="B21" i="6"/>
  <c r="O22" i="6" l="1"/>
  <c r="Q22" i="6" s="1"/>
  <c r="G20" i="3"/>
  <c r="H20" i="3"/>
  <c r="P20" i="3"/>
  <c r="Q20" i="3"/>
  <c r="K21" i="6"/>
  <c r="J21" i="6"/>
  <c r="Q21" i="6"/>
  <c r="P21" i="6"/>
  <c r="L22" i="6"/>
  <c r="E21" i="6"/>
  <c r="D21" i="6"/>
  <c r="T21" i="6"/>
  <c r="S21" i="6"/>
  <c r="M20" i="3"/>
  <c r="N20" i="3"/>
  <c r="H21" i="6"/>
  <c r="G21" i="6"/>
  <c r="J20" i="3"/>
  <c r="K20" i="3"/>
  <c r="S20" i="3"/>
  <c r="T20" i="3"/>
  <c r="N21" i="6"/>
  <c r="M21" i="6"/>
  <c r="D20" i="3"/>
  <c r="E20" i="3"/>
  <c r="I22" i="6"/>
  <c r="F22" i="6"/>
  <c r="R21" i="3"/>
  <c r="W19" i="3"/>
  <c r="F21" i="3"/>
  <c r="B21" i="3"/>
  <c r="L21" i="3"/>
  <c r="C21" i="3"/>
  <c r="I21" i="3"/>
  <c r="U20" i="3"/>
  <c r="X19" i="3"/>
  <c r="O21" i="3"/>
  <c r="W20" i="6"/>
  <c r="R22" i="6"/>
  <c r="C22" i="6"/>
  <c r="B22" i="6"/>
  <c r="U21" i="6"/>
  <c r="X20" i="6"/>
  <c r="F23" i="6" l="1"/>
  <c r="G23" i="6" s="1"/>
  <c r="P22" i="6"/>
  <c r="M21" i="3"/>
  <c r="N21" i="3"/>
  <c r="J21" i="3"/>
  <c r="K21" i="3"/>
  <c r="D22" i="6"/>
  <c r="E22" i="6"/>
  <c r="O23" i="6"/>
  <c r="H22" i="6"/>
  <c r="G22" i="6"/>
  <c r="P21" i="3"/>
  <c r="Q21" i="3"/>
  <c r="N22" i="6"/>
  <c r="M22" i="6"/>
  <c r="S21" i="3"/>
  <c r="T21" i="3"/>
  <c r="K22" i="6"/>
  <c r="J22" i="6"/>
  <c r="D21" i="3"/>
  <c r="E21" i="3"/>
  <c r="G21" i="3"/>
  <c r="H21" i="3"/>
  <c r="T22" i="6"/>
  <c r="S22" i="6"/>
  <c r="L23" i="6"/>
  <c r="I23" i="6"/>
  <c r="R22" i="3"/>
  <c r="W20" i="3"/>
  <c r="L22" i="3"/>
  <c r="F22" i="3"/>
  <c r="I22" i="3"/>
  <c r="B22" i="3"/>
  <c r="C22" i="3"/>
  <c r="O22" i="3"/>
  <c r="U21" i="3"/>
  <c r="X20" i="3"/>
  <c r="W21" i="6"/>
  <c r="U22" i="6"/>
  <c r="R23" i="6"/>
  <c r="C23" i="6"/>
  <c r="B23" i="6"/>
  <c r="X21" i="6"/>
  <c r="H23" i="6" l="1"/>
  <c r="D22" i="3"/>
  <c r="E22" i="3"/>
  <c r="Q22" i="3"/>
  <c r="P22" i="3"/>
  <c r="K22" i="3"/>
  <c r="J22" i="3"/>
  <c r="T22" i="3"/>
  <c r="S22" i="3"/>
  <c r="P23" i="6"/>
  <c r="Q23" i="6"/>
  <c r="M22" i="3"/>
  <c r="N22" i="3"/>
  <c r="F24" i="6"/>
  <c r="D23" i="6"/>
  <c r="E23" i="6"/>
  <c r="S23" i="6"/>
  <c r="T23" i="6"/>
  <c r="M23" i="6"/>
  <c r="N23" i="6"/>
  <c r="G22" i="3"/>
  <c r="H22" i="3"/>
  <c r="J23" i="6"/>
  <c r="K23" i="6"/>
  <c r="L24" i="6"/>
  <c r="I24" i="6"/>
  <c r="O24" i="6"/>
  <c r="X21" i="3"/>
  <c r="O23" i="3"/>
  <c r="C23" i="3"/>
  <c r="F23" i="3"/>
  <c r="B23" i="3"/>
  <c r="I23" i="3"/>
  <c r="L23" i="3"/>
  <c r="W21" i="3"/>
  <c r="R23" i="3"/>
  <c r="U22" i="3"/>
  <c r="R24" i="6"/>
  <c r="C24" i="6"/>
  <c r="B24" i="6"/>
  <c r="U23" i="6"/>
  <c r="W22" i="6"/>
  <c r="X22" i="6"/>
  <c r="I25" i="6" l="1"/>
  <c r="K25" i="6" s="1"/>
  <c r="J23" i="3"/>
  <c r="K23" i="3"/>
  <c r="M23" i="3"/>
  <c r="N23" i="3"/>
  <c r="P23" i="3"/>
  <c r="Q23" i="3"/>
  <c r="M24" i="6"/>
  <c r="N24" i="6"/>
  <c r="G23" i="3"/>
  <c r="H23" i="3"/>
  <c r="S23" i="3"/>
  <c r="T23" i="3"/>
  <c r="P24" i="6"/>
  <c r="Q24" i="6"/>
  <c r="D23" i="3"/>
  <c r="E23" i="3"/>
  <c r="F25" i="6"/>
  <c r="E24" i="6"/>
  <c r="D24" i="6"/>
  <c r="S24" i="6"/>
  <c r="T24" i="6"/>
  <c r="J24" i="6"/>
  <c r="K24" i="6"/>
  <c r="G24" i="6"/>
  <c r="H24" i="6"/>
  <c r="L25" i="6"/>
  <c r="O25" i="6"/>
  <c r="X22" i="3"/>
  <c r="W22" i="3"/>
  <c r="R24" i="3"/>
  <c r="O24" i="3"/>
  <c r="F24" i="3"/>
  <c r="L24" i="3"/>
  <c r="B24" i="3"/>
  <c r="I24" i="3"/>
  <c r="C24" i="3"/>
  <c r="U23" i="3"/>
  <c r="W23" i="6"/>
  <c r="X23" i="6"/>
  <c r="U24" i="6"/>
  <c r="R25" i="6"/>
  <c r="C25" i="6"/>
  <c r="B25" i="6"/>
  <c r="I26" i="6" l="1"/>
  <c r="J26" i="6" s="1"/>
  <c r="J25" i="6"/>
  <c r="G24" i="3"/>
  <c r="H24" i="3"/>
  <c r="T25" i="6"/>
  <c r="S25" i="6"/>
  <c r="P24" i="3"/>
  <c r="Q24" i="3"/>
  <c r="H25" i="6"/>
  <c r="G25" i="6"/>
  <c r="M24" i="3"/>
  <c r="N24" i="3"/>
  <c r="L26" i="6"/>
  <c r="E25" i="6"/>
  <c r="D25" i="6"/>
  <c r="S24" i="3"/>
  <c r="T24" i="3"/>
  <c r="F26" i="6"/>
  <c r="M25" i="6"/>
  <c r="N25" i="6"/>
  <c r="D24" i="3"/>
  <c r="E24" i="3"/>
  <c r="P25" i="6"/>
  <c r="Q25" i="6"/>
  <c r="J24" i="3"/>
  <c r="K24" i="3"/>
  <c r="O26" i="6"/>
  <c r="O25" i="3"/>
  <c r="R25" i="3"/>
  <c r="W23" i="3"/>
  <c r="X23" i="3"/>
  <c r="C25" i="3"/>
  <c r="B25" i="3"/>
  <c r="I25" i="3"/>
  <c r="L25" i="3"/>
  <c r="F25" i="3"/>
  <c r="U24" i="3"/>
  <c r="W24" i="6"/>
  <c r="U25" i="6"/>
  <c r="X24" i="6"/>
  <c r="R26" i="6"/>
  <c r="C26" i="6"/>
  <c r="B26" i="6"/>
  <c r="K26" i="6" l="1"/>
  <c r="F27" i="6"/>
  <c r="G27" i="6" s="1"/>
  <c r="L27" i="6"/>
  <c r="E26" i="6"/>
  <c r="D26" i="6"/>
  <c r="M25" i="3"/>
  <c r="N25" i="3"/>
  <c r="I27" i="6"/>
  <c r="S25" i="3"/>
  <c r="T25" i="3"/>
  <c r="J25" i="3"/>
  <c r="K25" i="3"/>
  <c r="G26" i="6"/>
  <c r="H26" i="6"/>
  <c r="P26" i="6"/>
  <c r="Q26" i="6"/>
  <c r="D25" i="3"/>
  <c r="E25" i="3"/>
  <c r="S26" i="6"/>
  <c r="T26" i="6"/>
  <c r="O27" i="6"/>
  <c r="P25" i="3"/>
  <c r="Q25" i="3"/>
  <c r="G25" i="3"/>
  <c r="H25" i="3"/>
  <c r="M26" i="6"/>
  <c r="N26" i="6"/>
  <c r="R26" i="3"/>
  <c r="U25" i="3"/>
  <c r="O26" i="3"/>
  <c r="I26" i="3"/>
  <c r="L26" i="3"/>
  <c r="C26" i="3"/>
  <c r="F26" i="3"/>
  <c r="B26" i="3"/>
  <c r="X24" i="3"/>
  <c r="W24" i="3"/>
  <c r="W25" i="6"/>
  <c r="X25" i="6"/>
  <c r="U26" i="6"/>
  <c r="R27" i="6"/>
  <c r="C27" i="6"/>
  <c r="B27" i="6"/>
  <c r="H27" i="6" l="1"/>
  <c r="D26" i="3"/>
  <c r="E26" i="3"/>
  <c r="J27" i="6"/>
  <c r="K27" i="6"/>
  <c r="L28" i="6"/>
  <c r="E27" i="6"/>
  <c r="D27" i="6"/>
  <c r="G26" i="3"/>
  <c r="H26" i="3"/>
  <c r="P27" i="6"/>
  <c r="Q27" i="6"/>
  <c r="J26" i="3"/>
  <c r="K26" i="3"/>
  <c r="O28" i="6"/>
  <c r="M27" i="6"/>
  <c r="N27" i="6"/>
  <c r="M26" i="3"/>
  <c r="N26" i="3"/>
  <c r="S26" i="3"/>
  <c r="T26" i="3"/>
  <c r="P26" i="3"/>
  <c r="Q26" i="3"/>
  <c r="S27" i="6"/>
  <c r="T27" i="6"/>
  <c r="I28" i="6"/>
  <c r="F28" i="6"/>
  <c r="O27" i="3"/>
  <c r="X25" i="3"/>
  <c r="U26" i="3"/>
  <c r="W25" i="3"/>
  <c r="B27" i="3"/>
  <c r="C27" i="3"/>
  <c r="I27" i="3"/>
  <c r="F27" i="3"/>
  <c r="L27" i="3"/>
  <c r="R27" i="3"/>
  <c r="R28" i="6"/>
  <c r="C28" i="6"/>
  <c r="B28" i="6"/>
  <c r="X26" i="6"/>
  <c r="U27" i="6"/>
  <c r="W26" i="6"/>
  <c r="M27" i="3" l="1"/>
  <c r="N27" i="3"/>
  <c r="G27" i="3"/>
  <c r="H27" i="3"/>
  <c r="J27" i="3"/>
  <c r="K27" i="3"/>
  <c r="P27" i="3"/>
  <c r="Q27" i="3"/>
  <c r="S27" i="3"/>
  <c r="T27" i="3"/>
  <c r="D27" i="3"/>
  <c r="E27" i="3"/>
  <c r="M28" i="6"/>
  <c r="N28" i="6"/>
  <c r="F29" i="6"/>
  <c r="E28" i="6"/>
  <c r="D28" i="6"/>
  <c r="O29" i="6"/>
  <c r="G28" i="6"/>
  <c r="H28" i="6"/>
  <c r="P28" i="6"/>
  <c r="Q28" i="6"/>
  <c r="S28" i="6"/>
  <c r="T28" i="6"/>
  <c r="J28" i="6"/>
  <c r="K28" i="6"/>
  <c r="L29" i="6"/>
  <c r="I29" i="6"/>
  <c r="U27" i="3"/>
  <c r="X26" i="3"/>
  <c r="R28" i="3"/>
  <c r="C28" i="3"/>
  <c r="F28" i="3"/>
  <c r="B28" i="3"/>
  <c r="L28" i="3"/>
  <c r="I28" i="3"/>
  <c r="W26" i="3"/>
  <c r="O28" i="3"/>
  <c r="C29" i="6"/>
  <c r="B29" i="6"/>
  <c r="R29" i="6"/>
  <c r="X27" i="6"/>
  <c r="W27" i="6"/>
  <c r="U28" i="6"/>
  <c r="F30" i="6" l="1"/>
  <c r="H30" i="6" s="1"/>
  <c r="H28" i="3"/>
  <c r="G28" i="3"/>
  <c r="M28" i="3"/>
  <c r="N28" i="3"/>
  <c r="K29" i="6"/>
  <c r="J29" i="6"/>
  <c r="J28" i="3"/>
  <c r="K28" i="3"/>
  <c r="N29" i="6"/>
  <c r="M29" i="6"/>
  <c r="H29" i="6"/>
  <c r="G29" i="6"/>
  <c r="Q29" i="6"/>
  <c r="P29" i="6"/>
  <c r="D29" i="6"/>
  <c r="E29" i="6"/>
  <c r="Q28" i="3"/>
  <c r="P28" i="3"/>
  <c r="E28" i="3"/>
  <c r="D28" i="3"/>
  <c r="T28" i="3"/>
  <c r="S28" i="3"/>
  <c r="T29" i="6"/>
  <c r="S29" i="6"/>
  <c r="L30" i="6"/>
  <c r="O30" i="6"/>
  <c r="I30" i="6"/>
  <c r="U28" i="3"/>
  <c r="I29" i="3"/>
  <c r="C29" i="3"/>
  <c r="F29" i="3"/>
  <c r="L29" i="3"/>
  <c r="B29" i="3"/>
  <c r="O29" i="3"/>
  <c r="W27" i="3"/>
  <c r="R29" i="3"/>
  <c r="X27" i="3"/>
  <c r="C30" i="6"/>
  <c r="B30" i="6"/>
  <c r="R30" i="6"/>
  <c r="X28" i="6"/>
  <c r="U29" i="6"/>
  <c r="W28" i="6"/>
  <c r="G30" i="6" l="1"/>
  <c r="F31" i="6"/>
  <c r="H31" i="6" s="1"/>
  <c r="D29" i="3"/>
  <c r="E29" i="3"/>
  <c r="G29" i="3"/>
  <c r="H29" i="3"/>
  <c r="D30" i="6"/>
  <c r="E30" i="6"/>
  <c r="T30" i="6"/>
  <c r="S30" i="6"/>
  <c r="N30" i="6"/>
  <c r="M30" i="6"/>
  <c r="P29" i="3"/>
  <c r="Q29" i="3"/>
  <c r="J29" i="3"/>
  <c r="K29" i="3"/>
  <c r="K30" i="6"/>
  <c r="J30" i="6"/>
  <c r="M29" i="3"/>
  <c r="N29" i="3"/>
  <c r="Q30" i="6"/>
  <c r="P30" i="6"/>
  <c r="S29" i="3"/>
  <c r="T29" i="3"/>
  <c r="L31" i="6"/>
  <c r="O31" i="6"/>
  <c r="I31" i="6"/>
  <c r="W28" i="3"/>
  <c r="X28" i="3"/>
  <c r="R30" i="3"/>
  <c r="O30" i="3"/>
  <c r="I30" i="3"/>
  <c r="C30" i="3"/>
  <c r="L30" i="3"/>
  <c r="B30" i="3"/>
  <c r="F30" i="3"/>
  <c r="U29" i="3"/>
  <c r="X29" i="6"/>
  <c r="U30" i="6"/>
  <c r="W29" i="6"/>
  <c r="R31" i="6"/>
  <c r="C31" i="6"/>
  <c r="B31" i="6"/>
  <c r="G31" i="6" l="1"/>
  <c r="G30" i="3"/>
  <c r="H30" i="3"/>
  <c r="P30" i="3"/>
  <c r="Q30" i="3"/>
  <c r="J30" i="3"/>
  <c r="K30" i="3"/>
  <c r="D31" i="6"/>
  <c r="E31" i="6"/>
  <c r="M30" i="3"/>
  <c r="N30" i="3"/>
  <c r="S30" i="3"/>
  <c r="T30" i="3"/>
  <c r="K31" i="6"/>
  <c r="J31" i="6"/>
  <c r="P31" i="6"/>
  <c r="Q31" i="6"/>
  <c r="D30" i="3"/>
  <c r="E30" i="3"/>
  <c r="T31" i="6"/>
  <c r="S31" i="6"/>
  <c r="F32" i="6"/>
  <c r="N31" i="6"/>
  <c r="M31" i="6"/>
  <c r="L32" i="6"/>
  <c r="O32" i="6"/>
  <c r="I32" i="6"/>
  <c r="W29" i="3"/>
  <c r="X29" i="3"/>
  <c r="R31" i="3"/>
  <c r="C31" i="3"/>
  <c r="B31" i="3"/>
  <c r="F31" i="3"/>
  <c r="I31" i="3"/>
  <c r="L31" i="3"/>
  <c r="O31" i="3"/>
  <c r="U30" i="3"/>
  <c r="X30" i="6"/>
  <c r="W30" i="6"/>
  <c r="U31" i="6"/>
  <c r="R32" i="6"/>
  <c r="C32" i="6"/>
  <c r="B32" i="6"/>
  <c r="J31" i="3" l="1"/>
  <c r="K31" i="3"/>
  <c r="M31" i="3"/>
  <c r="N31" i="3"/>
  <c r="M32" i="6"/>
  <c r="N32" i="6"/>
  <c r="G31" i="3"/>
  <c r="H31" i="3"/>
  <c r="T32" i="6"/>
  <c r="S32" i="6"/>
  <c r="D32" i="6"/>
  <c r="E32" i="6"/>
  <c r="F33" i="6"/>
  <c r="P31" i="3"/>
  <c r="Q31" i="3"/>
  <c r="S31" i="3"/>
  <c r="T31" i="3"/>
  <c r="H32" i="6"/>
  <c r="G32" i="6"/>
  <c r="D31" i="3"/>
  <c r="E31" i="3"/>
  <c r="L33" i="6"/>
  <c r="K32" i="6"/>
  <c r="J32" i="6"/>
  <c r="P32" i="6"/>
  <c r="Q32" i="6"/>
  <c r="O33" i="6"/>
  <c r="I33" i="6"/>
  <c r="O32" i="3"/>
  <c r="W30" i="3"/>
  <c r="X30" i="3"/>
  <c r="F32" i="3"/>
  <c r="B32" i="3"/>
  <c r="I32" i="3"/>
  <c r="L32" i="3"/>
  <c r="C32" i="3"/>
  <c r="U31" i="3"/>
  <c r="R32" i="3"/>
  <c r="W31" i="6"/>
  <c r="U32" i="6"/>
  <c r="X31" i="6"/>
  <c r="R33" i="6"/>
  <c r="C33" i="6"/>
  <c r="B33" i="6"/>
  <c r="M32" i="3" l="1"/>
  <c r="N32" i="3"/>
  <c r="J32" i="3"/>
  <c r="K32" i="3"/>
  <c r="G32" i="3"/>
  <c r="H32" i="3"/>
  <c r="D32" i="3"/>
  <c r="E32" i="3"/>
  <c r="K33" i="6"/>
  <c r="J33" i="6"/>
  <c r="Q33" i="6"/>
  <c r="P33" i="6"/>
  <c r="P32" i="3"/>
  <c r="Q32" i="3"/>
  <c r="S32" i="3"/>
  <c r="T32" i="3"/>
  <c r="N33" i="6"/>
  <c r="M33" i="6"/>
  <c r="E33" i="6"/>
  <c r="D33" i="6"/>
  <c r="T33" i="6"/>
  <c r="S33" i="6"/>
  <c r="H33" i="6"/>
  <c r="G33" i="6"/>
  <c r="W32" i="6"/>
  <c r="W31" i="3"/>
  <c r="R33" i="3"/>
  <c r="O33" i="3"/>
  <c r="U32" i="3"/>
  <c r="X31" i="3"/>
  <c r="F33" i="3"/>
  <c r="L33" i="3"/>
  <c r="B33" i="3"/>
  <c r="I33" i="3"/>
  <c r="C33" i="3"/>
  <c r="X32" i="6"/>
  <c r="U33" i="6"/>
  <c r="J33" i="3" l="1"/>
  <c r="K33" i="3"/>
  <c r="G33" i="3"/>
  <c r="H33" i="3"/>
  <c r="D33" i="3"/>
  <c r="E33" i="3"/>
  <c r="P33" i="3"/>
  <c r="Q33" i="3"/>
  <c r="M33" i="3"/>
  <c r="N33" i="3"/>
  <c r="S33" i="3"/>
  <c r="T33" i="3"/>
  <c r="X32" i="3"/>
  <c r="W32" i="3"/>
  <c r="U33" i="3"/>
  <c r="W33" i="6"/>
  <c r="W34" i="6" s="1"/>
  <c r="X33" i="6"/>
  <c r="X34" i="6" s="1"/>
  <c r="C9" i="10" l="1"/>
  <c r="C5" i="10"/>
  <c r="J21" i="1"/>
  <c r="J17" i="1"/>
  <c r="E5" i="4"/>
  <c r="D5" i="4"/>
  <c r="W33" i="3"/>
  <c r="W34" i="3" s="1"/>
  <c r="X33" i="3"/>
  <c r="X34" i="3" s="1"/>
  <c r="C8" i="10" l="1"/>
  <c r="J20" i="1"/>
  <c r="J16" i="1"/>
  <c r="D4" i="4"/>
  <c r="D17" i="4"/>
  <c r="E4" i="4"/>
  <c r="E17" i="4"/>
  <c r="E6" i="4"/>
  <c r="D6" i="4"/>
  <c r="F5" i="4"/>
  <c r="F17" i="4" l="1"/>
  <c r="F4" i="4"/>
  <c r="F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tc={214ABA1A-CE0A-E446-B19E-8F11BD115EBD}</author>
    <author>tc={13E2F207-3E0A-AF43-B404-DCBECB52B4DA}</author>
    <author>tc={B8C85DC4-1045-F54F-97D7-D46D15A15813}</author>
    <author>tc={920D4A3B-EE62-6147-B79E-6A96D806CA7D}</author>
    <author>tc={B0F235B5-D5AD-354D-BF69-568ADAED679E}</author>
    <author>tc={A9B29AFB-8188-FC4E-B689-D9E16723785A}</author>
    <author>tc={646DA126-87FB-C24B-B78B-8221D12D64B0}</author>
    <author>tc={6532F39A-9A04-9146-B89A-DFCF4DB83267}</author>
    <author>tc={89B59A91-F985-8A4A-8BFF-47EFC2F2774E}</author>
  </authors>
  <commentList>
    <comment ref="O1" authorId="0" shapeId="0" xr:uid="{214ABA1A-CE0A-E446-B19E-8F11BD115EBD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 COST_PAYOFF)</t>
      </text>
    </comment>
    <comment ref="Q1" authorId="1" shapeId="0" xr:uid="{13E2F207-3E0A-AF43-B404-DCBECB52B4DA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MMULT(TRACE,QALY_PAYOFF)</t>
      </text>
    </comment>
    <comment ref="S1" authorId="2" shapeId="0" xr:uid="{B8C85DC4-1045-F54F-97D7-D46D15A1581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/ (1 + d_r)^cycle, where d_r is the appropriate discount rate (e.g., 0.03) and cycle is the cycle number
</t>
      </text>
    </comment>
    <comment ref="V1" authorId="3" shapeId="0" xr:uid="{920D4A3B-EE62-6147-B79E-6A96D806CA7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1/3 in the first and last cycle.
Alternate 2/3, then 4/3 in-between. </t>
      </text>
    </comment>
    <comment ref="X1" authorId="4" shapeId="0" xr:uid="{B0F235B5-D5AD-354D-BF69-568ADAED679E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Costs * Cycle Adjustment</t>
      </text>
    </comment>
    <comment ref="Y1" authorId="5" shapeId="0" xr:uid="{A9B29AFB-8188-FC4E-B689-D9E16723785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QALYs * Cycle Adjustment
</t>
      </text>
    </comment>
    <comment ref="AA2" authorId="6" shapeId="0" xr:uid="{646DA126-87FB-C24B-B78B-8221D12D64B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MMULT(TRANSPOSE(cost_adjustment),total costs)
</t>
      </text>
    </comment>
    <comment ref="AA3" authorId="7" shapeId="0" xr:uid="{6532F39A-9A04-9146-B89A-DFCF4DB83267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MMULT(TRANSPOSE(qaly_adjustment),total qualms)</t>
      </text>
    </comment>
    <comment ref="AB3" authorId="8" shapeId="0" xr:uid="{89B59A91-F985-8A4A-8BFF-47EFC2F2774E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include the cycle 0(333), while the original one didn’t include. Can just delete the cycle0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tc={B5F2D97F-0054-934B-9623-64F468E51495}</author>
    <author>tc={70BF3488-AB96-7B45-89A2-F5A19B4799EC}</author>
    <author>tc={CEE95008-1C12-2D42-BDC4-9496B59C808A}</author>
    <author>tc={99B586DE-FE40-504D-8C89-8154561726A3}</author>
    <author>tc={817C0A11-5CA7-E047-B500-05EBC9CC19FC}</author>
    <author>tc={C2B9D41A-5C9E-2844-99D6-6EA58722C2B5}</author>
    <author>tc={7E3055AE-2441-044F-AE29-AE215E257B6B}</author>
    <author>tc={76FDF45E-118C-824C-9782-4E7496E74369}</author>
    <author>tc={62424B44-BC7D-4D4F-B6A8-5DE171AB1891}</author>
  </authors>
  <commentList>
    <comment ref="O1" authorId="0" shapeId="0" xr:uid="{B5F2D97F-0054-934B-9623-64F468E51495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 COST_PAYOFF)</t>
      </text>
    </comment>
    <comment ref="Q1" authorId="1" shapeId="0" xr:uid="{70BF3488-AB96-7B45-89A2-F5A19B4799EC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MMULT(TRACE,QALY_PAYOFF)</t>
      </text>
    </comment>
    <comment ref="S1" authorId="2" shapeId="0" xr:uid="{CEE95008-1C12-2D42-BDC4-9496B59C808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/ (1 + d_r)^cycle, where d_r is the appropriate discount rate (e.g., 0.03) and cycle is the cycle number
</t>
      </text>
    </comment>
    <comment ref="V1" authorId="3" shapeId="0" xr:uid="{99B586DE-FE40-504D-8C89-8154561726A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1/3 in the first and last cycle.
Alternate 2/3, then 4/3 in-between. </t>
      </text>
    </comment>
    <comment ref="X1" authorId="4" shapeId="0" xr:uid="{817C0A11-5CA7-E047-B500-05EBC9CC19FC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Costs * Cycle Adjustment</t>
      </text>
    </comment>
    <comment ref="Y1" authorId="5" shapeId="0" xr:uid="{C2B9D41A-5C9E-2844-99D6-6EA58722C2B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QALYs * Cycle Adjustment
</t>
      </text>
    </comment>
    <comment ref="AA2" authorId="6" shapeId="0" xr:uid="{7E3055AE-2441-044F-AE29-AE215E257B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MMULT(TRANSPOSE(cost_adjustment),total costs)
</t>
      </text>
    </comment>
    <comment ref="AA3" authorId="7" shapeId="0" xr:uid="{76FDF45E-118C-824C-9782-4E7496E74369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MMULT(TRANSPOSE(qaly_adjustment),total qualms)</t>
      </text>
    </comment>
    <comment ref="AB3" authorId="8" shapeId="0" xr:uid="{62424B44-BC7D-4D4F-B6A8-5DE171AB1891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include the cycle 0(333), while the original one didn’t include. Can just delete the cycle0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tc={9C9C2E77-7C3B-2745-A163-300DEF234BD4}</author>
    <author>tc={E3698469-7063-004C-B272-B2150DFA234F}</author>
    <author>tc={BF061D60-8917-DF4A-B718-4922F2755DD4}</author>
    <author>tc={EC6F8FDB-A346-5D4F-8A4A-8529D9EFD481}</author>
    <author>tc={FD4DC96B-9DF6-644F-9C07-DFF554E6004A}</author>
    <author>tc={C2CB2625-68C3-4B42-A02B-0DC09209EAEE}</author>
    <author>tc={3EC12DA1-3300-3641-A973-1731B508E4E0}</author>
    <author>tc={FE779CE5-7FA6-5146-86AD-D60DECC8C5DC}</author>
    <author>tc={F7CE99EA-87FD-7941-8866-2638B34C5DC0}</author>
  </authors>
  <commentList>
    <comment ref="O1" authorId="0" shapeId="0" xr:uid="{9C9C2E77-7C3B-2745-A163-300DEF234BD4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 COST_PAYOFF)</t>
      </text>
    </comment>
    <comment ref="Q1" authorId="1" shapeId="0" xr:uid="{E3698469-7063-004C-B272-B2150DFA234F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MMULT(TRACE,QALY_PAYOFF)</t>
      </text>
    </comment>
    <comment ref="S1" authorId="2" shapeId="0" xr:uid="{BF061D60-8917-DF4A-B718-4922F2755DD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/ (1 + d_r)^cycle, where d_r is the appropriate discount rate (e.g., 0.03) and cycle is the cycle number
</t>
      </text>
    </comment>
    <comment ref="V1" authorId="3" shapeId="0" xr:uid="{EC6F8FDB-A346-5D4F-8A4A-8529D9EFD48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1/3 in the first and last cycle.
Alternate 2/3, then 4/3 in-between. </t>
      </text>
    </comment>
    <comment ref="X1" authorId="4" shapeId="0" xr:uid="{FD4DC96B-9DF6-644F-9C07-DFF554E6004A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Costs * Cycle Adjustment</t>
      </text>
    </comment>
    <comment ref="Y1" authorId="5" shapeId="0" xr:uid="{C2CB2625-68C3-4B42-A02B-0DC09209EAE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QALYs * Cycle Adjustment
</t>
      </text>
    </comment>
    <comment ref="AA2" authorId="6" shapeId="0" xr:uid="{3EC12DA1-3300-3641-A973-1731B508E4E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MMULT(TRANSPOSE(cost_adjustment),total costs)
</t>
      </text>
    </comment>
    <comment ref="AA3" authorId="7" shapeId="0" xr:uid="{FE779CE5-7FA6-5146-86AD-D60DECC8C5DC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MMULT(TRANSPOSE(qaly_adjustment),total qualms)</t>
      </text>
    </comment>
    <comment ref="AB3" authorId="8" shapeId="0" xr:uid="{F7CE99EA-87FD-7941-8866-2638B34C5DC0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include the cycle 0(333), while the original one didn’t include. Can just delete the cycle0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tc={4D5EBB8C-15B6-3E44-91BE-607E64FF9A61}</author>
    <author>tc={EA836A97-EFD3-9047-B5F9-4C01BA94F810}</author>
    <author>tc={E38611E2-A605-8945-B5A0-A570097B032D}</author>
    <author>tc={7B0E80BB-9FF6-5341-AA6D-DE49E731C6E0}</author>
    <author>tc={275F5540-89B1-B148-848F-7795AB76261A}</author>
    <author>tc={021D8822-FD1C-094E-B356-3ECFF24C9C72}</author>
    <author>tc={1714EE46-FA92-D140-9725-D702FA3721F5}</author>
    <author>tc={F776CFC1-4CD7-AD4C-94E3-30A4422CAB48}</author>
    <author>tc={6DDC40EE-DDA3-D744-8553-19492D741AAB}</author>
  </authors>
  <commentList>
    <comment ref="O1" authorId="0" shapeId="0" xr:uid="{4D5EBB8C-15B6-3E44-91BE-607E64FF9A61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 COST_PAYOFF)</t>
      </text>
    </comment>
    <comment ref="Q1" authorId="1" shapeId="0" xr:uid="{EA836A97-EFD3-9047-B5F9-4C01BA94F810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MMULT(TRACE,QALY_PAYOFF)</t>
      </text>
    </comment>
    <comment ref="S1" authorId="2" shapeId="0" xr:uid="{E38611E2-A605-8945-B5A0-A570097B032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/ (1 + d_r)^cycle, where d_r is the appropriate discount rate (e.g., 0.03) and cycle is the cycle number
</t>
      </text>
    </comment>
    <comment ref="V1" authorId="3" shapeId="0" xr:uid="{7B0E80BB-9FF6-5341-AA6D-DE49E731C6E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1/3 in the first and last cycle.
Alternate 2/3, then 4/3 in-between. </t>
      </text>
    </comment>
    <comment ref="X1" authorId="4" shapeId="0" xr:uid="{275F5540-89B1-B148-848F-7795AB76261A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Costs * Cycle Adjustment</t>
      </text>
    </comment>
    <comment ref="Y1" authorId="5" shapeId="0" xr:uid="{021D8822-FD1C-094E-B356-3ECFF24C9C7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QALYs * Cycle Adjustment
</t>
      </text>
    </comment>
    <comment ref="AA2" authorId="6" shapeId="0" xr:uid="{1714EE46-FA92-D140-9725-D702FA3721F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MMULT(TRANSPOSE(cost_adjustment),total costs)
</t>
      </text>
    </comment>
    <comment ref="AA3" authorId="7" shapeId="0" xr:uid="{F776CFC1-4CD7-AD4C-94E3-30A4422CAB48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MMULT(TRANSPOSE(qaly_adjustment),total qualms)</t>
      </text>
    </comment>
    <comment ref="AB3" authorId="8" shapeId="0" xr:uid="{6DDC40EE-DDA3-D744-8553-19492D741AAB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include the cycle 0(333), while the original one didn’t include. Can just delete the cycle0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<sst xmlns="http://schemas.openxmlformats.org/spreadsheetml/2006/main" count="749" uniqueCount="269">
  <si>
    <t>Description</t>
  </si>
  <si>
    <t>Value</t>
  </si>
  <si>
    <t>Variable name</t>
  </si>
  <si>
    <t>Cycle</t>
  </si>
  <si>
    <t>N</t>
  </si>
  <si>
    <t>Cost</t>
  </si>
  <si>
    <t>Utility</t>
  </si>
  <si>
    <t>Healthy</t>
  </si>
  <si>
    <t>Stage 1</t>
  </si>
  <si>
    <t>Stage 2</t>
  </si>
  <si>
    <t>Stage 3</t>
  </si>
  <si>
    <t>Remission</t>
  </si>
  <si>
    <t>Death</t>
  </si>
  <si>
    <t>Trace</t>
  </si>
  <si>
    <t>Cost per cycle</t>
  </si>
  <si>
    <t>Utility per cycle</t>
  </si>
  <si>
    <t>Alternative</t>
  </si>
  <si>
    <t>Total Cost</t>
  </si>
  <si>
    <t>Incremental Cost</t>
  </si>
  <si>
    <t>ICER</t>
  </si>
  <si>
    <t>-</t>
  </si>
  <si>
    <t>Total Utility</t>
  </si>
  <si>
    <t>Incremental Utility</t>
  </si>
  <si>
    <t>Status quo</t>
  </si>
  <si>
    <t>Population size</t>
  </si>
  <si>
    <t>nPop</t>
  </si>
  <si>
    <t>Probability of transition from Healthy to Stage 1</t>
  </si>
  <si>
    <t>pHealthyStage1</t>
  </si>
  <si>
    <t>Probability of transition from Healthy to Stage 2</t>
  </si>
  <si>
    <t>Probability of transition from Healthy to Stage 3</t>
  </si>
  <si>
    <t>pHealthyStage2</t>
  </si>
  <si>
    <t>pHealthyStage3</t>
  </si>
  <si>
    <t>Probability of transition from Stage 1 to Stage 2</t>
  </si>
  <si>
    <t>Probability of transition from Stage 1 to Remission</t>
  </si>
  <si>
    <t>pStage1Stage2</t>
  </si>
  <si>
    <t>pStage1Remission</t>
  </si>
  <si>
    <t>Probability of transition from Stage 2 to Stage 1</t>
  </si>
  <si>
    <t>Probability of transition from Stage 2 to Stage 3</t>
  </si>
  <si>
    <t>Probability of transition from Stage 2 to Remission</t>
  </si>
  <si>
    <t>pStage2Stage1</t>
  </si>
  <si>
    <t>pStage2Stage3</t>
  </si>
  <si>
    <t>pStage2Remission</t>
  </si>
  <si>
    <t>Probability of transition from Stage 3 to Stage 2</t>
  </si>
  <si>
    <t>Probability of transition from Stage 3 to Death</t>
  </si>
  <si>
    <t>pStage3Stage2</t>
  </si>
  <si>
    <t>pStage3Death</t>
  </si>
  <si>
    <t>Probability of transition from Remission to Stage 1</t>
  </si>
  <si>
    <t>Probability of transition from Remission to Stage 2</t>
  </si>
  <si>
    <t>pRemissionStage1</t>
  </si>
  <si>
    <t>pRemissionStage2</t>
  </si>
  <si>
    <t>Number of visits per cycle in Stage 1</t>
  </si>
  <si>
    <t>Number of visits per cycle in Stage 2</t>
  </si>
  <si>
    <t>Number of visits per cycle in Stage 3</t>
  </si>
  <si>
    <t>Number of visits per cycle in Remission</t>
  </si>
  <si>
    <t>Cost of treatment per cycle in Stage 1</t>
  </si>
  <si>
    <t>Cost of treatment per cycle in Stage 2</t>
  </si>
  <si>
    <t>Cost of treatment per cycle in Stage 3</t>
  </si>
  <si>
    <t>Cost of treatment per cycle in Remission</t>
  </si>
  <si>
    <t>nVisitsStage1</t>
  </si>
  <si>
    <t>nVisitsStage2</t>
  </si>
  <si>
    <t>nVisitsStage3</t>
  </si>
  <si>
    <t>nVisitsRemission</t>
  </si>
  <si>
    <t>cTreatmentStage1</t>
  </si>
  <si>
    <t>cTreatmentStage2</t>
  </si>
  <si>
    <t>cTreatmentStage3</t>
  </si>
  <si>
    <t>Cost of visit</t>
  </si>
  <si>
    <t>cVisit</t>
  </si>
  <si>
    <t>cTreatmentRemission</t>
  </si>
  <si>
    <t>Utility of Healthy per cycle</t>
  </si>
  <si>
    <t>Utility of Stage 1 per cycle</t>
  </si>
  <si>
    <t>Utility of Stage 2 per cycle</t>
  </si>
  <si>
    <t>Utility of Stage 3 per cycle</t>
  </si>
  <si>
    <t>Utility of Remission per cycle</t>
  </si>
  <si>
    <t>uHealthy</t>
  </si>
  <si>
    <t>uRemission</t>
  </si>
  <si>
    <t>uStage1</t>
  </si>
  <si>
    <t>uStage2</t>
  </si>
  <si>
    <t>uStage3</t>
  </si>
  <si>
    <t>Annual discount rate</t>
  </si>
  <si>
    <t>discount_rate</t>
  </si>
  <si>
    <t>TOTAL</t>
  </si>
  <si>
    <t>Category</t>
  </si>
  <si>
    <t>Other</t>
  </si>
  <si>
    <t>Probabilities</t>
  </si>
  <si>
    <t>Utilities</t>
  </si>
  <si>
    <t>Population alive</t>
  </si>
  <si>
    <t>pRemissionStage1_trtA</t>
  </si>
  <si>
    <t>pRemissionStage2_trtA</t>
  </si>
  <si>
    <t>pRemissionStage1_trtB</t>
  </si>
  <si>
    <t>pRemissionStage2_trtB</t>
  </si>
  <si>
    <t>Lower bound</t>
  </si>
  <si>
    <t>Upper bound</t>
  </si>
  <si>
    <t>pRemissionStage1_trtC</t>
  </si>
  <si>
    <t>pRemissionStage2_trtC</t>
  </si>
  <si>
    <t>Probability of transition from Remission to Stage 1 when on Treatment A</t>
  </si>
  <si>
    <t>Probability of transition from Remission to Stage 2 when on Treatment B</t>
  </si>
  <si>
    <t>Probability of transition from Remission to Stage 2 when on Treatment A</t>
  </si>
  <si>
    <t>Probability of transition from Remission to Stage 1 when on Treatment B</t>
  </si>
  <si>
    <t>Probability of transition from Remission to Stage 1 when on Treatment C</t>
  </si>
  <si>
    <t>Probability of transition from Remission to Stage 2 when on Treatment C</t>
  </si>
  <si>
    <t>cost</t>
  </si>
  <si>
    <t>cTrtA</t>
  </si>
  <si>
    <t>cTrtB</t>
  </si>
  <si>
    <t>cTrtC</t>
  </si>
  <si>
    <t>Rates</t>
  </si>
  <si>
    <t>Rate of transition from Health to Stage 1</t>
  </si>
  <si>
    <t>Rate of transition from Health to Stage 2</t>
  </si>
  <si>
    <t>Rate of transition from Health to Stage 3</t>
  </si>
  <si>
    <t>Rate of transition from Stage 1 to Stage 2</t>
  </si>
  <si>
    <t>Rate of transition from Stage 1 to Remission</t>
  </si>
  <si>
    <t>Rate of transition from Stage 2 to Remission</t>
  </si>
  <si>
    <t>Rate of transition from Stage 2 to Stage 1</t>
  </si>
  <si>
    <t>Rate of transition from Stage 2 to Stage 3</t>
  </si>
  <si>
    <t>Rate of transition from Stage 3 to Stage 2</t>
  </si>
  <si>
    <t>Rate of transition from Stage 3 to Death</t>
  </si>
  <si>
    <t>Increase in transition rate from Remission to Stage 1 (Hazard Rate Treatment A)</t>
  </si>
  <si>
    <t>Increase in transition rate from Remission to Stage 2 (Hazard Rate Treatment A)</t>
  </si>
  <si>
    <t>Increase in transition rate from Remission to Stage 1 (Hazard Rate Treatment B)</t>
  </si>
  <si>
    <t>Increase in transition rate from Remission to Stage 2 (Hazard Rate Treatment B)</t>
  </si>
  <si>
    <t>Increase in transition rate from Remission to Stage 1 (Hazard Rate Treatment C)</t>
  </si>
  <si>
    <t>Increase in transition rate from Remission to Stage 2 (Hazard Rate Treatment C)</t>
  </si>
  <si>
    <t>rHealthyStage1</t>
  </si>
  <si>
    <t>rHealthyStage2</t>
  </si>
  <si>
    <t>rHealthyStage3</t>
  </si>
  <si>
    <t>rStage1Stage2</t>
  </si>
  <si>
    <t>rStage1Remission</t>
  </si>
  <si>
    <t>rStage2Stage1</t>
  </si>
  <si>
    <t>rStage2Stage3</t>
  </si>
  <si>
    <t>rStage2Remission</t>
  </si>
  <si>
    <t>rStage3Stage2</t>
  </si>
  <si>
    <t>rStage3Death</t>
  </si>
  <si>
    <t>hrRemissionStage1_trtA</t>
  </si>
  <si>
    <t>hrRemissionStage2_trtA</t>
  </si>
  <si>
    <t>hrRemissionStage1_trtB</t>
  </si>
  <si>
    <t>hrRemissionStage2_trtB</t>
  </si>
  <si>
    <t>hrRemissionStage2_trtC</t>
  </si>
  <si>
    <t>hrRemissionStage1_trtC</t>
  </si>
  <si>
    <t>Weight for Simpson's rule</t>
  </si>
  <si>
    <t>Formula</t>
  </si>
  <si>
    <t>Cost of Treatment A for Remission per cycle</t>
  </si>
  <si>
    <t>Cost of Treatment B for Remission per cycle</t>
  </si>
  <si>
    <t>Cost of Treatment C for Remission per cycle</t>
  </si>
  <si>
    <t>Treatment A</t>
  </si>
  <si>
    <t>Treatment B</t>
  </si>
  <si>
    <t>Treatment C</t>
  </si>
  <si>
    <t>Initial ICERS: Sort strategies by cost (least costly first, most costly last)</t>
  </si>
  <si>
    <t>Remaining strategies when strictly dominated strategies are removed</t>
  </si>
  <si>
    <t>Status</t>
  </si>
  <si>
    <t>Dominated</t>
  </si>
  <si>
    <t>Final ICERs after all weakly dominated strategies are removed</t>
  </si>
  <si>
    <t>Weakly Dominated</t>
  </si>
  <si>
    <t>lower</t>
  </si>
  <si>
    <t>upper</t>
  </si>
  <si>
    <t>NMB</t>
  </si>
  <si>
    <t>willing to pay</t>
  </si>
  <si>
    <t>wtp</t>
  </si>
  <si>
    <t>range</t>
  </si>
  <si>
    <t>Make a tornado plot for the NMB</t>
  </si>
  <si>
    <t>Make a tornado plot for the ICER</t>
  </si>
  <si>
    <t>Step 0: FILL OUT THIS SECTION</t>
  </si>
  <si>
    <t>Option 1. Rate-to-Probability Conversion Formulas</t>
  </si>
  <si>
    <t>Option 2. Embedded from Rate Matrix. Note: THESE CELLS WILL CALCULATE AUTOMATICALLY</t>
  </si>
  <si>
    <t xml:space="preserve">Option 2 Inputs: FILL OUT THIS SECTION </t>
  </si>
  <si>
    <t>Transition Rate Matrix</t>
  </si>
  <si>
    <t xml:space="preserve">Transition Probability Matrix </t>
  </si>
  <si>
    <t>Binary Matrix (No Need to Edit)</t>
  </si>
  <si>
    <t>Rate Matrix ^ 1</t>
  </si>
  <si>
    <t>Rate Matrix ^2</t>
  </si>
  <si>
    <t>Rate Matrix ^3</t>
  </si>
  <si>
    <t>Rate Matrix ^4</t>
  </si>
  <si>
    <t>strategy</t>
  </si>
  <si>
    <t>from</t>
  </si>
  <si>
    <t>A</t>
  </si>
  <si>
    <t>m_P_trtA</t>
  </si>
  <si>
    <t>B</t>
  </si>
  <si>
    <t>m_P_trtB</t>
  </si>
  <si>
    <t>C</t>
  </si>
  <si>
    <t>m_P_trtC</t>
  </si>
  <si>
    <t>Rate of transition from Remission to Stage 1</t>
  </si>
  <si>
    <t>Rate of transition from Remission to Stage 2</t>
  </si>
  <si>
    <t>rRemissionStage1</t>
  </si>
  <si>
    <t>rRemissionStage2</t>
  </si>
  <si>
    <t>m_P_quo</t>
  </si>
  <si>
    <t>m_P_quo_matrixExp</t>
  </si>
  <si>
    <t>m_P_trtA_matrixExp</t>
  </si>
  <si>
    <t>m_P_trtB_matrixExp</t>
  </si>
  <si>
    <t>m_P_trtC_matrixExp</t>
  </si>
  <si>
    <t>Payoffs</t>
  </si>
  <si>
    <t>Strategy</t>
  </si>
  <si>
    <t>costs_trtA</t>
  </si>
  <si>
    <t>qalys_trtA</t>
  </si>
  <si>
    <t>costs_quo</t>
  </si>
  <si>
    <t>qalys_quo</t>
  </si>
  <si>
    <t>Markov Trace</t>
  </si>
  <si>
    <t>Total Costs</t>
  </si>
  <si>
    <t>Total QALYs</t>
  </si>
  <si>
    <t>1. Discounting</t>
  </si>
  <si>
    <t>2. Cycle Adjustment</t>
  </si>
  <si>
    <t>3. Cost Adjustment
(1 * 2)</t>
  </si>
  <si>
    <t>4. QALY adjustment
(1 * 2)</t>
  </si>
  <si>
    <t>totcost_trtA</t>
  </si>
  <si>
    <t>cost_trtA</t>
  </si>
  <si>
    <t>qaly_trtA</t>
  </si>
  <si>
    <t>w_c_disc_trtA</t>
  </si>
  <si>
    <t>w_e_disc_trtA</t>
  </si>
  <si>
    <t>w_c_trtA</t>
  </si>
  <si>
    <t>w_e_trtA</t>
  </si>
  <si>
    <t>totqaly_trtA</t>
  </si>
  <si>
    <t>cost_quo</t>
  </si>
  <si>
    <t>qaly_quo</t>
  </si>
  <si>
    <t>w_c_disc_quo</t>
  </si>
  <si>
    <t>w_e_disc_quo</t>
  </si>
  <si>
    <t>cycle_adj</t>
  </si>
  <si>
    <t>w_c_quo</t>
  </si>
  <si>
    <t>w_e_quo</t>
  </si>
  <si>
    <t>totcost_quo</t>
  </si>
  <si>
    <t>totqaly_quo</t>
  </si>
  <si>
    <t>costs_trtB</t>
  </si>
  <si>
    <t>qalys_trtB</t>
  </si>
  <si>
    <t>cost_trtB</t>
  </si>
  <si>
    <t>qaly_trtB</t>
  </si>
  <si>
    <t>w_c_trtB</t>
  </si>
  <si>
    <t>w_e_trtB</t>
  </si>
  <si>
    <t>w_e_disc_trtB</t>
  </si>
  <si>
    <t>w_c_disc_trtB</t>
  </si>
  <si>
    <t>totcost_trtB</t>
  </si>
  <si>
    <t>totqaly_trtB</t>
  </si>
  <si>
    <t>costs_trtC</t>
  </si>
  <si>
    <t>qalys_trtC</t>
  </si>
  <si>
    <t>cost_trtC</t>
  </si>
  <si>
    <t>qaly_trtC</t>
  </si>
  <si>
    <t>w_c_disc_trtC</t>
  </si>
  <si>
    <t>w_e_disc_trtC</t>
  </si>
  <si>
    <t>w_c_trtC</t>
  </si>
  <si>
    <t>w_e_trtC</t>
  </si>
  <si>
    <t>Cycle length</t>
  </si>
  <si>
    <t>cycle_length</t>
  </si>
  <si>
    <t>n_cycles</t>
  </si>
  <si>
    <t>Cycle number</t>
  </si>
  <si>
    <t>Utility of Death per cycle</t>
  </si>
  <si>
    <t>uDeath</t>
  </si>
  <si>
    <t>trt A</t>
  </si>
  <si>
    <t>Option 2. Matrix Exponentiation Result from R</t>
  </si>
  <si>
    <t>m_P_quo_R</t>
  </si>
  <si>
    <t>m_P_trtA_R</t>
  </si>
  <si>
    <t>m_P_trtB_R</t>
  </si>
  <si>
    <t>m_P_trtC_R</t>
  </si>
  <si>
    <t>NMB = 0</t>
  </si>
  <si>
    <t>useGoalSeek</t>
  </si>
  <si>
    <t>Age (years)</t>
  </si>
  <si>
    <r>
      <t xml:space="preserve">Probability of dying between ages </t>
    </r>
    <r>
      <rPr>
        <i/>
        <sz val="11"/>
        <rFont val="Arial"/>
        <family val="2"/>
      </rPr>
      <t>x</t>
    </r>
    <r>
      <rPr>
        <sz val="11"/>
        <rFont val="Arial"/>
        <family val="2"/>
      </rPr>
      <t xml:space="preserve"> and </t>
    </r>
    <r>
      <rPr>
        <i/>
        <sz val="11"/>
        <rFont val="Arial"/>
        <family val="2"/>
      </rPr>
      <t>x</t>
    </r>
    <r>
      <rPr>
        <sz val="11"/>
        <rFont val="Arial"/>
        <family val="2"/>
      </rPr>
      <t xml:space="preserve"> + 1</t>
    </r>
  </si>
  <si>
    <r>
      <t xml:space="preserve">Number dying between ages </t>
    </r>
    <r>
      <rPr>
        <i/>
        <sz val="11"/>
        <rFont val="Arial"/>
        <family val="2"/>
      </rPr>
      <t>x</t>
    </r>
    <r>
      <rPr>
        <sz val="11"/>
        <rFont val="Arial"/>
        <family val="2"/>
      </rPr>
      <t xml:space="preserve"> and </t>
    </r>
    <r>
      <rPr>
        <i/>
        <sz val="11"/>
        <rFont val="Arial"/>
        <family val="2"/>
      </rPr>
      <t>x</t>
    </r>
    <r>
      <rPr>
        <sz val="11"/>
        <rFont val="Arial"/>
        <family val="2"/>
      </rPr>
      <t xml:space="preserve"> + 1</t>
    </r>
  </si>
  <si>
    <r>
      <t>q</t>
    </r>
    <r>
      <rPr>
        <i/>
        <vertAlign val="subscript"/>
        <sz val="11"/>
        <rFont val="Arial"/>
        <family val="2"/>
      </rPr>
      <t>x</t>
    </r>
  </si>
  <si>
    <r>
      <t>d</t>
    </r>
    <r>
      <rPr>
        <i/>
        <vertAlign val="subscript"/>
        <sz val="11"/>
        <rFont val="Arial"/>
        <family val="2"/>
      </rPr>
      <t>x</t>
    </r>
  </si>
  <si>
    <t>start as 45-yr male</t>
  </si>
  <si>
    <t>cancer Death(cumsum)</t>
  </si>
  <si>
    <t>background death(cumsum)</t>
  </si>
  <si>
    <t>original qx</t>
  </si>
  <si>
    <t>calculated qx</t>
  </si>
  <si>
    <t>calculation process&gt;&gt;</t>
  </si>
  <si>
    <r>
      <t xml:space="preserve"> percent from </t>
    </r>
    <r>
      <rPr>
        <sz val="11"/>
        <color rgb="FFFFC000"/>
        <rFont val="Calibri (Body)"/>
      </rPr>
      <t>GBD</t>
    </r>
  </si>
  <si>
    <t>When there's the percent of death due to prostate cancer from GBD, using (1 - the percent)*the orginial qx.</t>
  </si>
  <si>
    <t>For some ages, GBD didn't have the percents.</t>
  </si>
  <si>
    <t>0.010779661648518804</t>
  </si>
  <si>
    <t>0.015049414651148493</t>
  </si>
  <si>
    <t>0.026523179549566858</t>
  </si>
  <si>
    <t>0.021437115573975228</t>
  </si>
  <si>
    <t>0.016837015926953552</t>
  </si>
  <si>
    <t>0.012044885285827969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</si>
</sst>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.0_);_(* \(#,##0.0\);_(* &quot;-&quot;??_);_(@_)"/>
    <numFmt numFmtId="166" formatCode="_(* #,##0_);_(* \(#,##0\);_(* &quot;-&quot;??_);_(@_)"/>
    <numFmt numFmtId="167" formatCode="0.000"/>
    <numFmt numFmtId="168" formatCode="0.0000"/>
    <numFmt numFmtId="169" formatCode="0.00000"/>
    <numFmt numFmtId="170" formatCode="0.000000000000000"/>
    <numFmt numFmtId="171" formatCode="_(&quot;$&quot;* #,##0.0_);_(&quot;$&quot;* \(#,##0.0\);_(&quot;$&quot;* &quot;-&quot;??_);_(@_)"/>
    <numFmt numFmtId="172" formatCode="0.000000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Arial"/>
      <family val="2"/>
    </font>
    <font>
      <i/>
      <sz val="11"/>
      <name val="Arial"/>
      <family val="2"/>
    </font>
    <font>
      <i/>
      <vertAlign val="subscript"/>
      <sz val="11"/>
      <name val="Arial"/>
      <family val="2"/>
    </font>
    <font>
      <sz val="11"/>
      <color rgb="FF000000"/>
      <name val="Arial"/>
      <family val="2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C000"/>
      <name val="Calibri (Body)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242">
    <xf numFmtId="0" fontId="0" fillId="0" borderId="0" xfId="0"/>
    <xf numFmtId="0" fontId="0" fillId="0" borderId="0" xfId="0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166" fontId="0" fillId="0" borderId="0" xfId="1" applyNumberFormat="1" applyFont="1" applyAlignment="1">
      <alignment vertical="center"/>
    </xf>
    <xf numFmtId="0" fontId="0" fillId="0" borderId="0" xfId="1" applyNumberFormat="1" applyFont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166" fontId="0" fillId="0" borderId="14" xfId="1" applyNumberFormat="1" applyFont="1" applyBorder="1" applyAlignment="1">
      <alignment vertical="center"/>
    </xf>
    <xf numFmtId="166" fontId="0" fillId="0" borderId="15" xfId="1" applyNumberFormat="1" applyFont="1" applyBorder="1" applyAlignment="1">
      <alignment vertical="center"/>
    </xf>
    <xf numFmtId="166" fontId="0" fillId="0" borderId="5" xfId="1" applyNumberFormat="1" applyFont="1" applyBorder="1" applyAlignment="1">
      <alignment vertical="center"/>
    </xf>
    <xf numFmtId="166" fontId="0" fillId="0" borderId="17" xfId="1" applyNumberFormat="1" applyFont="1" applyBorder="1" applyAlignment="1">
      <alignment vertical="center"/>
    </xf>
    <xf numFmtId="166" fontId="0" fillId="0" borderId="8" xfId="1" applyNumberFormat="1" applyFont="1" applyBorder="1" applyAlignment="1">
      <alignment vertical="center"/>
    </xf>
    <xf numFmtId="166" fontId="0" fillId="0" borderId="6" xfId="1" applyNumberFormat="1" applyFont="1" applyBorder="1" applyAlignment="1">
      <alignment vertical="center"/>
    </xf>
    <xf numFmtId="166" fontId="0" fillId="0" borderId="7" xfId="1" applyNumberFormat="1" applyFont="1" applyBorder="1" applyAlignment="1">
      <alignment vertical="center"/>
    </xf>
    <xf numFmtId="166" fontId="0" fillId="0" borderId="0" xfId="1" applyNumberFormat="1" applyFont="1" applyBorder="1" applyAlignment="1">
      <alignment vertical="center"/>
    </xf>
    <xf numFmtId="165" fontId="0" fillId="0" borderId="18" xfId="1" applyNumberFormat="1" applyFont="1" applyBorder="1" applyAlignment="1">
      <alignment vertical="center"/>
    </xf>
    <xf numFmtId="166" fontId="0" fillId="0" borderId="9" xfId="1" applyNumberFormat="1" applyFont="1" applyBorder="1" applyAlignment="1">
      <alignment vertical="center"/>
    </xf>
    <xf numFmtId="165" fontId="0" fillId="0" borderId="10" xfId="1" applyNumberFormat="1" applyFont="1" applyBorder="1" applyAlignment="1">
      <alignment vertical="center"/>
    </xf>
    <xf numFmtId="166" fontId="0" fillId="0" borderId="18" xfId="1" applyNumberFormat="1" applyFont="1" applyBorder="1" applyAlignment="1">
      <alignment vertical="center"/>
    </xf>
    <xf numFmtId="166" fontId="0" fillId="0" borderId="10" xfId="1" applyNumberFormat="1" applyFont="1" applyBorder="1" applyAlignment="1">
      <alignment vertical="center"/>
    </xf>
    <xf numFmtId="165" fontId="0" fillId="0" borderId="15" xfId="1" applyNumberFormat="1" applyFont="1" applyBorder="1" applyAlignment="1">
      <alignment vertical="center"/>
    </xf>
    <xf numFmtId="43" fontId="0" fillId="0" borderId="5" xfId="1" applyFont="1" applyBorder="1" applyAlignment="1">
      <alignment vertical="center"/>
    </xf>
    <xf numFmtId="43" fontId="0" fillId="0" borderId="17" xfId="1" applyFont="1" applyBorder="1" applyAlignment="1">
      <alignment vertical="center"/>
    </xf>
    <xf numFmtId="43" fontId="0" fillId="0" borderId="8" xfId="1" applyFont="1" applyBorder="1" applyAlignment="1">
      <alignment vertical="center"/>
    </xf>
    <xf numFmtId="0" fontId="3" fillId="0" borderId="1" xfId="1" applyNumberFormat="1" applyFont="1" applyBorder="1" applyAlignment="1">
      <alignment vertical="center"/>
    </xf>
    <xf numFmtId="166" fontId="3" fillId="0" borderId="2" xfId="1" applyNumberFormat="1" applyFont="1" applyBorder="1" applyAlignment="1">
      <alignment vertical="center"/>
    </xf>
    <xf numFmtId="166" fontId="3" fillId="0" borderId="19" xfId="1" applyNumberFormat="1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5" xfId="0" applyBorder="1"/>
    <xf numFmtId="0" fontId="0" fillId="0" borderId="8" xfId="0" applyBorder="1"/>
    <xf numFmtId="166" fontId="0" fillId="0" borderId="9" xfId="1" applyNumberFormat="1" applyFont="1" applyBorder="1"/>
    <xf numFmtId="0" fontId="3" fillId="0" borderId="20" xfId="0" applyFont="1" applyBorder="1" applyAlignment="1">
      <alignment horizontal="center" vertical="center"/>
    </xf>
    <xf numFmtId="166" fontId="0" fillId="0" borderId="6" xfId="1" applyNumberFormat="1" applyFont="1" applyBorder="1"/>
    <xf numFmtId="0" fontId="0" fillId="0" borderId="6" xfId="0" applyBorder="1" applyAlignment="1">
      <alignment vertical="center"/>
    </xf>
    <xf numFmtId="164" fontId="0" fillId="0" borderId="0" xfId="2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164" fontId="0" fillId="0" borderId="9" xfId="2" applyNumberFormat="1" applyFont="1" applyBorder="1" applyAlignment="1">
      <alignment vertical="center"/>
    </xf>
    <xf numFmtId="9" fontId="0" fillId="0" borderId="6" xfId="0" applyNumberFormat="1" applyBorder="1" applyAlignment="1">
      <alignment vertical="center"/>
    </xf>
    <xf numFmtId="9" fontId="0" fillId="0" borderId="0" xfId="0" applyNumberFormat="1" applyAlignment="1">
      <alignment vertical="center"/>
    </xf>
    <xf numFmtId="9" fontId="0" fillId="0" borderId="9" xfId="0" applyNumberFormat="1" applyBorder="1" applyAlignment="1">
      <alignment vertical="center"/>
    </xf>
    <xf numFmtId="164" fontId="0" fillId="0" borderId="6" xfId="2" applyNumberFormat="1" applyFont="1" applyBorder="1"/>
    <xf numFmtId="164" fontId="0" fillId="0" borderId="9" xfId="2" applyNumberFormat="1" applyFont="1" applyBorder="1"/>
    <xf numFmtId="1" fontId="0" fillId="0" borderId="5" xfId="1" applyNumberFormat="1" applyFont="1" applyBorder="1" applyAlignment="1">
      <alignment vertical="center"/>
    </xf>
    <xf numFmtId="1" fontId="0" fillId="0" borderId="17" xfId="1" applyNumberFormat="1" applyFont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0" fillId="0" borderId="23" xfId="0" applyBorder="1" applyAlignment="1">
      <alignment vertical="center"/>
    </xf>
    <xf numFmtId="166" fontId="0" fillId="0" borderId="23" xfId="1" applyNumberFormat="1" applyFont="1" applyBorder="1" applyAlignment="1">
      <alignment vertical="center"/>
    </xf>
    <xf numFmtId="0" fontId="3" fillId="0" borderId="2" xfId="1" applyNumberFormat="1" applyFont="1" applyBorder="1" applyAlignment="1">
      <alignment vertical="center"/>
    </xf>
    <xf numFmtId="167" fontId="0" fillId="0" borderId="17" xfId="1" applyNumberFormat="1" applyFont="1" applyBorder="1" applyAlignment="1">
      <alignment vertical="center"/>
    </xf>
    <xf numFmtId="167" fontId="0" fillId="0" borderId="5" xfId="1" applyNumberFormat="1" applyFont="1" applyBorder="1" applyAlignment="1">
      <alignment vertical="center"/>
    </xf>
    <xf numFmtId="0" fontId="0" fillId="0" borderId="17" xfId="0" applyBorder="1"/>
    <xf numFmtId="164" fontId="0" fillId="0" borderId="0" xfId="2" applyNumberFormat="1" applyFont="1" applyBorder="1"/>
    <xf numFmtId="166" fontId="0" fillId="0" borderId="0" xfId="1" applyNumberFormat="1" applyFont="1" applyBorder="1"/>
    <xf numFmtId="166" fontId="0" fillId="0" borderId="24" xfId="1" applyNumberFormat="1" applyFont="1" applyBorder="1" applyAlignment="1">
      <alignment horizontal="right"/>
    </xf>
    <xf numFmtId="0" fontId="5" fillId="8" borderId="0" xfId="0" applyFont="1" applyFill="1"/>
    <xf numFmtId="0" fontId="0" fillId="8" borderId="0" xfId="0" applyFill="1"/>
    <xf numFmtId="0" fontId="0" fillId="0" borderId="6" xfId="0" applyBorder="1" applyAlignment="1">
      <alignment horizontal="right"/>
    </xf>
    <xf numFmtId="0" fontId="0" fillId="0" borderId="21" xfId="0" applyBorder="1" applyAlignment="1">
      <alignment horizontal="right"/>
    </xf>
    <xf numFmtId="166" fontId="0" fillId="0" borderId="3" xfId="1" applyNumberFormat="1" applyFont="1" applyBorder="1" applyAlignment="1">
      <alignment horizontal="right"/>
    </xf>
    <xf numFmtId="166" fontId="0" fillId="0" borderId="25" xfId="1" applyNumberFormat="1" applyFont="1" applyBorder="1"/>
    <xf numFmtId="0" fontId="0" fillId="9" borderId="4" xfId="0" applyFill="1" applyBorder="1"/>
    <xf numFmtId="164" fontId="0" fillId="8" borderId="11" xfId="2" applyNumberFormat="1" applyFont="1" applyFill="1" applyBorder="1"/>
    <xf numFmtId="164" fontId="0" fillId="8" borderId="26" xfId="2" applyNumberFormat="1" applyFont="1" applyFill="1" applyBorder="1"/>
    <xf numFmtId="164" fontId="0" fillId="8" borderId="27" xfId="2" applyNumberFormat="1" applyFont="1" applyFill="1" applyBorder="1"/>
    <xf numFmtId="164" fontId="0" fillId="8" borderId="28" xfId="2" applyNumberFormat="1" applyFont="1" applyFill="1" applyBorder="1"/>
    <xf numFmtId="164" fontId="0" fillId="8" borderId="29" xfId="2" applyNumberFormat="1" applyFont="1" applyFill="1" applyBorder="1"/>
    <xf numFmtId="9" fontId="0" fillId="0" borderId="30" xfId="0" applyNumberFormat="1" applyBorder="1" applyAlignment="1">
      <alignment vertical="center"/>
    </xf>
    <xf numFmtId="9" fontId="0" fillId="0" borderId="0" xfId="0" applyNumberFormat="1"/>
    <xf numFmtId="0" fontId="1" fillId="8" borderId="0" xfId="3" applyFill="1"/>
    <xf numFmtId="164" fontId="0" fillId="8" borderId="29" xfId="4" applyNumberFormat="1" applyFont="1" applyFill="1" applyBorder="1"/>
    <xf numFmtId="164" fontId="0" fillId="8" borderId="28" xfId="4" applyNumberFormat="1" applyFont="1" applyFill="1" applyBorder="1"/>
    <xf numFmtId="0" fontId="1" fillId="9" borderId="4" xfId="3" applyFill="1" applyBorder="1"/>
    <xf numFmtId="167" fontId="1" fillId="8" borderId="0" xfId="3" applyNumberFormat="1" applyFill="1"/>
    <xf numFmtId="164" fontId="1" fillId="8" borderId="0" xfId="3" applyNumberFormat="1" applyFill="1"/>
    <xf numFmtId="9" fontId="4" fillId="0" borderId="0" xfId="0" applyNumberFormat="1" applyFont="1" applyAlignment="1">
      <alignment vertical="center"/>
    </xf>
    <xf numFmtId="168" fontId="0" fillId="0" borderId="6" xfId="0" applyNumberFormat="1" applyBorder="1" applyAlignment="1">
      <alignment vertical="center"/>
    </xf>
    <xf numFmtId="168" fontId="0" fillId="0" borderId="0" xfId="0" applyNumberFormat="1" applyAlignment="1">
      <alignment vertical="center"/>
    </xf>
    <xf numFmtId="0" fontId="0" fillId="8" borderId="0" xfId="0" applyFill="1" applyAlignment="1">
      <alignment wrapText="1"/>
    </xf>
    <xf numFmtId="0" fontId="8" fillId="9" borderId="32" xfId="0" applyFont="1" applyFill="1" applyBorder="1"/>
    <xf numFmtId="0" fontId="7" fillId="9" borderId="2" xfId="0" applyFont="1" applyFill="1" applyBorder="1"/>
    <xf numFmtId="0" fontId="7" fillId="9" borderId="19" xfId="0" applyFont="1" applyFill="1" applyBorder="1"/>
    <xf numFmtId="0" fontId="0" fillId="8" borderId="34" xfId="0" applyFill="1" applyBorder="1" applyAlignment="1">
      <alignment wrapText="1"/>
    </xf>
    <xf numFmtId="0" fontId="5" fillId="8" borderId="9" xfId="0" applyFont="1" applyFill="1" applyBorder="1"/>
    <xf numFmtId="0" fontId="0" fillId="8" borderId="9" xfId="0" applyFill="1" applyBorder="1"/>
    <xf numFmtId="0" fontId="5" fillId="8" borderId="33" xfId="0" applyFont="1" applyFill="1" applyBorder="1"/>
    <xf numFmtId="0" fontId="0" fillId="8" borderId="25" xfId="0" applyFill="1" applyBorder="1"/>
    <xf numFmtId="49" fontId="5" fillId="8" borderId="9" xfId="0" applyNumberFormat="1" applyFont="1" applyFill="1" applyBorder="1"/>
    <xf numFmtId="49" fontId="5" fillId="8" borderId="33" xfId="0" applyNumberFormat="1" applyFont="1" applyFill="1" applyBorder="1"/>
    <xf numFmtId="0" fontId="5" fillId="8" borderId="9" xfId="0" applyFont="1" applyFill="1" applyBorder="1" applyAlignment="1">
      <alignment wrapText="1"/>
    </xf>
    <xf numFmtId="0" fontId="5" fillId="8" borderId="35" xfId="0" applyFont="1" applyFill="1" applyBorder="1" applyAlignment="1">
      <alignment wrapText="1"/>
    </xf>
    <xf numFmtId="49" fontId="5" fillId="8" borderId="0" xfId="0" applyNumberFormat="1" applyFont="1" applyFill="1" applyAlignment="1">
      <alignment wrapText="1"/>
    </xf>
    <xf numFmtId="49" fontId="5" fillId="8" borderId="34" xfId="0" applyNumberFormat="1" applyFont="1" applyFill="1" applyBorder="1" applyAlignment="1">
      <alignment wrapText="1"/>
    </xf>
    <xf numFmtId="170" fontId="0" fillId="8" borderId="0" xfId="0" applyNumberFormat="1" applyFill="1"/>
    <xf numFmtId="0" fontId="0" fillId="8" borderId="34" xfId="0" applyFill="1" applyBorder="1"/>
    <xf numFmtId="0" fontId="0" fillId="8" borderId="35" xfId="0" applyFill="1" applyBorder="1"/>
    <xf numFmtId="49" fontId="0" fillId="8" borderId="0" xfId="0" applyNumberFormat="1" applyFill="1"/>
    <xf numFmtId="49" fontId="0" fillId="8" borderId="34" xfId="0" applyNumberFormat="1" applyFill="1" applyBorder="1" applyAlignment="1">
      <alignment horizontal="right"/>
    </xf>
    <xf numFmtId="0" fontId="0" fillId="10" borderId="4" xfId="0" applyFill="1" applyBorder="1"/>
    <xf numFmtId="0" fontId="0" fillId="11" borderId="4" xfId="0" applyFill="1" applyBorder="1"/>
    <xf numFmtId="0" fontId="0" fillId="11" borderId="36" xfId="0" applyFill="1" applyBorder="1"/>
    <xf numFmtId="49" fontId="0" fillId="8" borderId="0" xfId="0" applyNumberFormat="1" applyFill="1" applyAlignment="1">
      <alignment wrapText="1"/>
    </xf>
    <xf numFmtId="49" fontId="0" fillId="8" borderId="34" xfId="0" applyNumberFormat="1" applyFill="1" applyBorder="1" applyAlignment="1">
      <alignment wrapText="1"/>
    </xf>
    <xf numFmtId="168" fontId="0" fillId="10" borderId="4" xfId="0" applyNumberFormat="1" applyFill="1" applyBorder="1"/>
    <xf numFmtId="168" fontId="0" fillId="10" borderId="36" xfId="0" applyNumberFormat="1" applyFill="1" applyBorder="1"/>
    <xf numFmtId="168" fontId="0" fillId="12" borderId="4" xfId="0" applyNumberFormat="1" applyFill="1" applyBorder="1"/>
    <xf numFmtId="168" fontId="0" fillId="12" borderId="36" xfId="0" applyNumberFormat="1" applyFill="1" applyBorder="1"/>
    <xf numFmtId="1" fontId="0" fillId="8" borderId="4" xfId="0" applyNumberFormat="1" applyFill="1" applyBorder="1"/>
    <xf numFmtId="169" fontId="0" fillId="11" borderId="4" xfId="0" applyNumberFormat="1" applyFill="1" applyBorder="1"/>
    <xf numFmtId="11" fontId="0" fillId="11" borderId="36" xfId="0" applyNumberFormat="1" applyFill="1" applyBorder="1"/>
    <xf numFmtId="0" fontId="0" fillId="10" borderId="36" xfId="0" applyFill="1" applyBorder="1"/>
    <xf numFmtId="49" fontId="5" fillId="8" borderId="0" xfId="0" applyNumberFormat="1" applyFont="1" applyFill="1"/>
    <xf numFmtId="49" fontId="5" fillId="8" borderId="34" xfId="0" applyNumberFormat="1" applyFont="1" applyFill="1" applyBorder="1"/>
    <xf numFmtId="168" fontId="0" fillId="8" borderId="35" xfId="0" applyNumberFormat="1" applyFill="1" applyBorder="1"/>
    <xf numFmtId="169" fontId="0" fillId="8" borderId="34" xfId="0" applyNumberFormat="1" applyFill="1" applyBorder="1"/>
    <xf numFmtId="11" fontId="0" fillId="8" borderId="35" xfId="0" applyNumberFormat="1" applyFill="1" applyBorder="1"/>
    <xf numFmtId="0" fontId="0" fillId="8" borderId="35" xfId="0" applyFill="1" applyBorder="1" applyAlignment="1">
      <alignment wrapText="1"/>
    </xf>
    <xf numFmtId="49" fontId="0" fillId="8" borderId="34" xfId="0" applyNumberFormat="1" applyFill="1" applyBorder="1"/>
    <xf numFmtId="0" fontId="5" fillId="8" borderId="0" xfId="0" applyFont="1" applyFill="1" applyAlignment="1">
      <alignment wrapText="1"/>
    </xf>
    <xf numFmtId="169" fontId="0" fillId="11" borderId="13" xfId="0" applyNumberFormat="1" applyFill="1" applyBorder="1"/>
    <xf numFmtId="169" fontId="0" fillId="8" borderId="0" xfId="0" applyNumberFormat="1" applyFill="1"/>
    <xf numFmtId="169" fontId="0" fillId="11" borderId="37" xfId="0" applyNumberFormat="1" applyFill="1" applyBorder="1"/>
    <xf numFmtId="168" fontId="0" fillId="8" borderId="0" xfId="0" applyNumberFormat="1" applyFill="1"/>
    <xf numFmtId="49" fontId="0" fillId="8" borderId="28" xfId="0" applyNumberFormat="1" applyFill="1" applyBorder="1" applyAlignment="1">
      <alignment wrapText="1"/>
    </xf>
    <xf numFmtId="168" fontId="0" fillId="12" borderId="38" xfId="0" applyNumberFormat="1" applyFill="1" applyBorder="1"/>
    <xf numFmtId="168" fontId="0" fillId="12" borderId="39" xfId="0" applyNumberFormat="1" applyFill="1" applyBorder="1"/>
    <xf numFmtId="49" fontId="0" fillId="8" borderId="28" xfId="0" applyNumberFormat="1" applyFill="1" applyBorder="1" applyAlignment="1">
      <alignment horizontal="right"/>
    </xf>
    <xf numFmtId="0" fontId="0" fillId="11" borderId="38" xfId="0" applyFill="1" applyBorder="1"/>
    <xf numFmtId="0" fontId="0" fillId="10" borderId="39" xfId="0" applyFill="1" applyBorder="1"/>
    <xf numFmtId="168" fontId="0" fillId="10" borderId="38" xfId="0" applyNumberFormat="1" applyFill="1" applyBorder="1"/>
    <xf numFmtId="168" fontId="0" fillId="10" borderId="39" xfId="0" applyNumberFormat="1" applyFill="1" applyBorder="1"/>
    <xf numFmtId="169" fontId="0" fillId="11" borderId="40" xfId="0" applyNumberFormat="1" applyFill="1" applyBorder="1"/>
    <xf numFmtId="169" fontId="0" fillId="11" borderId="38" xfId="0" applyNumberFormat="1" applyFill="1" applyBorder="1"/>
    <xf numFmtId="169" fontId="0" fillId="11" borderId="31" xfId="0" applyNumberFormat="1" applyFill="1" applyBorder="1"/>
    <xf numFmtId="169" fontId="0" fillId="8" borderId="41" xfId="0" applyNumberFormat="1" applyFill="1" applyBorder="1"/>
    <xf numFmtId="11" fontId="0" fillId="11" borderId="39" xfId="0" applyNumberFormat="1" applyFill="1" applyBorder="1"/>
    <xf numFmtId="0" fontId="5" fillId="8" borderId="38" xfId="0" applyFont="1" applyFill="1" applyBorder="1"/>
    <xf numFmtId="0" fontId="5" fillId="11" borderId="38" xfId="0" applyFont="1" applyFill="1" applyBorder="1"/>
    <xf numFmtId="0" fontId="0" fillId="8" borderId="16" xfId="0" applyFill="1" applyBorder="1"/>
    <xf numFmtId="0" fontId="0" fillId="11" borderId="16" xfId="0" applyFill="1" applyBorder="1"/>
    <xf numFmtId="0" fontId="0" fillId="8" borderId="4" xfId="0" applyFill="1" applyBorder="1"/>
    <xf numFmtId="0" fontId="0" fillId="11" borderId="42" xfId="0" applyFill="1" applyBorder="1"/>
    <xf numFmtId="0" fontId="5" fillId="8" borderId="0" xfId="0" applyFont="1" applyFill="1" applyAlignment="1">
      <alignment horizontal="center" vertical="center"/>
    </xf>
    <xf numFmtId="0" fontId="5" fillId="8" borderId="9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/>
    </xf>
    <xf numFmtId="0" fontId="5" fillId="12" borderId="32" xfId="0" applyFont="1" applyFill="1" applyBorder="1"/>
    <xf numFmtId="0" fontId="5" fillId="8" borderId="38" xfId="0" applyFont="1" applyFill="1" applyBorder="1" applyAlignment="1">
      <alignment horizontal="center"/>
    </xf>
    <xf numFmtId="0" fontId="0" fillId="11" borderId="0" xfId="0" applyFill="1"/>
    <xf numFmtId="0" fontId="0" fillId="8" borderId="0" xfId="0" applyFill="1" applyAlignment="1">
      <alignment horizontal="center"/>
    </xf>
    <xf numFmtId="171" fontId="0" fillId="11" borderId="0" xfId="2" applyNumberFormat="1" applyFont="1" applyFill="1"/>
    <xf numFmtId="167" fontId="0" fillId="11" borderId="0" xfId="0" applyNumberFormat="1" applyFill="1" applyAlignment="1">
      <alignment horizontal="right"/>
    </xf>
    <xf numFmtId="167" fontId="0" fillId="8" borderId="0" xfId="0" applyNumberFormat="1" applyFill="1" applyAlignment="1">
      <alignment horizontal="right"/>
    </xf>
    <xf numFmtId="167" fontId="7" fillId="8" borderId="0" xfId="0" applyNumberFormat="1" applyFont="1" applyFill="1" applyAlignment="1">
      <alignment horizontal="right"/>
    </xf>
    <xf numFmtId="1" fontId="0" fillId="12" borderId="19" xfId="0" applyNumberFormat="1" applyFill="1" applyBorder="1"/>
    <xf numFmtId="1" fontId="0" fillId="12" borderId="29" xfId="0" applyNumberFormat="1" applyFill="1" applyBorder="1"/>
    <xf numFmtId="164" fontId="0" fillId="8" borderId="34" xfId="4" applyNumberFormat="1" applyFont="1" applyFill="1" applyBorder="1"/>
    <xf numFmtId="164" fontId="0" fillId="8" borderId="35" xfId="4" applyNumberFormat="1" applyFont="1" applyFill="1" applyBorder="1"/>
    <xf numFmtId="164" fontId="1" fillId="8" borderId="4" xfId="3" applyNumberFormat="1" applyFill="1" applyBorder="1"/>
    <xf numFmtId="0" fontId="3" fillId="5" borderId="0" xfId="0" applyFont="1" applyFill="1" applyAlignment="1">
      <alignment horizontal="center" vertical="center"/>
    </xf>
    <xf numFmtId="166" fontId="0" fillId="0" borderId="16" xfId="1" applyNumberFormat="1" applyFont="1" applyBorder="1" applyAlignment="1">
      <alignment vertical="center"/>
    </xf>
    <xf numFmtId="172" fontId="9" fillId="0" borderId="6" xfId="0" applyNumberFormat="1" applyFont="1" applyBorder="1" applyAlignment="1">
      <alignment horizontal="center" wrapText="1"/>
    </xf>
    <xf numFmtId="3" fontId="9" fillId="0" borderId="7" xfId="0" applyNumberFormat="1" applyFont="1" applyBorder="1" applyAlignment="1">
      <alignment horizontal="center" wrapText="1"/>
    </xf>
    <xf numFmtId="172" fontId="10" fillId="0" borderId="12" xfId="0" applyNumberFormat="1" applyFont="1" applyBorder="1" applyAlignment="1">
      <alignment horizontal="center"/>
    </xf>
    <xf numFmtId="3" fontId="10" fillId="0" borderId="13" xfId="0" applyNumberFormat="1" applyFont="1" applyBorder="1" applyAlignment="1">
      <alignment horizontal="center"/>
    </xf>
    <xf numFmtId="1" fontId="12" fillId="0" borderId="17" xfId="0" applyNumberFormat="1" applyFont="1" applyBorder="1"/>
    <xf numFmtId="3" fontId="12" fillId="0" borderId="0" xfId="0" applyNumberFormat="1" applyFont="1"/>
    <xf numFmtId="1" fontId="12" fillId="0" borderId="8" xfId="0" applyNumberFormat="1" applyFont="1" applyBorder="1"/>
    <xf numFmtId="3" fontId="12" fillId="0" borderId="9" xfId="0" applyNumberFormat="1" applyFont="1" applyBorder="1"/>
    <xf numFmtId="43" fontId="0" fillId="0" borderId="6" xfId="1" applyFont="1" applyBorder="1" applyAlignment="1">
      <alignment vertical="center"/>
    </xf>
    <xf numFmtId="0" fontId="3" fillId="0" borderId="32" xfId="1" applyNumberFormat="1" applyFont="1" applyBorder="1" applyAlignment="1">
      <alignment vertical="center"/>
    </xf>
    <xf numFmtId="43" fontId="0" fillId="0" borderId="16" xfId="1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8" borderId="0" xfId="0" applyFont="1" applyFill="1"/>
    <xf numFmtId="0" fontId="14" fillId="9" borderId="4" xfId="0" applyFont="1" applyFill="1" applyBorder="1"/>
    <xf numFmtId="9" fontId="14" fillId="0" borderId="30" xfId="0" applyNumberFormat="1" applyFont="1" applyBorder="1" applyAlignment="1">
      <alignment vertical="center"/>
    </xf>
    <xf numFmtId="9" fontId="14" fillId="0" borderId="43" xfId="0" applyNumberFormat="1" applyFont="1" applyBorder="1" applyAlignment="1">
      <alignment vertical="center"/>
    </xf>
    <xf numFmtId="9" fontId="14" fillId="0" borderId="31" xfId="0" applyNumberFormat="1" applyFont="1" applyBorder="1" applyAlignment="1">
      <alignment vertical="center"/>
    </xf>
    <xf numFmtId="164" fontId="14" fillId="8" borderId="11" xfId="2" applyNumberFormat="1" applyFont="1" applyFill="1" applyBorder="1"/>
    <xf numFmtId="164" fontId="14" fillId="8" borderId="26" xfId="2" applyNumberFormat="1" applyFont="1" applyFill="1" applyBorder="1"/>
    <xf numFmtId="164" fontId="14" fillId="8" borderId="0" xfId="2" applyNumberFormat="1" applyFont="1" applyFill="1" applyBorder="1"/>
    <xf numFmtId="164" fontId="14" fillId="8" borderId="27" xfId="2" applyNumberFormat="1" applyFont="1" applyFill="1" applyBorder="1"/>
    <xf numFmtId="164" fontId="14" fillId="8" borderId="28" xfId="2" applyNumberFormat="1" applyFont="1" applyFill="1" applyBorder="1"/>
    <xf numFmtId="164" fontId="14" fillId="8" borderId="41" xfId="2" applyNumberFormat="1" applyFont="1" applyFill="1" applyBorder="1"/>
    <xf numFmtId="164" fontId="14" fillId="8" borderId="29" xfId="2" applyNumberFormat="1" applyFont="1" applyFill="1" applyBorder="1"/>
    <xf numFmtId="0" fontId="13" fillId="8" borderId="0" xfId="3" applyFont="1" applyFill="1"/>
    <xf numFmtId="0" fontId="13" fillId="9" borderId="4" xfId="3" applyFont="1" applyFill="1" applyBorder="1"/>
    <xf numFmtId="164" fontId="14" fillId="0" borderId="30" xfId="2" applyNumberFormat="1" applyFont="1" applyBorder="1" applyAlignment="1">
      <alignment vertical="center"/>
    </xf>
    <xf numFmtId="164" fontId="14" fillId="0" borderId="43" xfId="2" applyNumberFormat="1" applyFont="1" applyBorder="1" applyAlignment="1">
      <alignment vertical="center"/>
    </xf>
    <xf numFmtId="164" fontId="14" fillId="0" borderId="31" xfId="2" applyNumberFormat="1" applyFont="1" applyBorder="1" applyAlignment="1">
      <alignment vertical="center"/>
    </xf>
    <xf numFmtId="172" fontId="12" fillId="0" borderId="0" xfId="0" applyNumberFormat="1" applyFont="1"/>
    <xf numFmtId="0" fontId="0" fillId="9" borderId="0" xfId="0" applyFill="1"/>
    <xf numFmtId="172" fontId="0" fillId="0" borderId="0" xfId="0" applyNumberFormat="1"/>
    <xf numFmtId="43" fontId="0" fillId="0" borderId="15" xfId="1" applyFont="1" applyBorder="1" applyAlignment="1">
      <alignment vertical="center"/>
    </xf>
    <xf numFmtId="43" fontId="0" fillId="0" borderId="0" xfId="1" applyFont="1" applyBorder="1" applyAlignment="1">
      <alignment vertical="center"/>
    </xf>
    <xf numFmtId="172" fontId="0" fillId="0" borderId="9" xfId="0" applyNumberFormat="1" applyBorder="1"/>
    <xf numFmtId="43" fontId="0" fillId="0" borderId="9" xfId="1" applyFont="1" applyBorder="1" applyAlignment="1">
      <alignment vertical="center"/>
    </xf>
    <xf numFmtId="43" fontId="0" fillId="0" borderId="10" xfId="1" applyFont="1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3" fontId="9" fillId="0" borderId="14" xfId="0" applyNumberFormat="1" applyFont="1" applyBorder="1" applyAlignment="1">
      <alignment horizontal="center"/>
    </xf>
    <xf numFmtId="3" fontId="9" fillId="0" borderId="44" xfId="0" applyNumberFormat="1" applyFont="1" applyBorder="1" applyAlignment="1">
      <alignment horizont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wrapText="1"/>
    </xf>
    <xf numFmtId="0" fontId="5" fillId="8" borderId="25" xfId="0" applyFont="1" applyFill="1" applyBorder="1" applyAlignment="1">
      <alignment horizontal="center" wrapText="1"/>
    </xf>
    <xf numFmtId="0" fontId="8" fillId="9" borderId="1" xfId="0" applyFont="1" applyFill="1" applyBorder="1" applyAlignment="1">
      <alignment horizontal="left"/>
    </xf>
    <xf numFmtId="0" fontId="8" fillId="9" borderId="2" xfId="0" applyFont="1" applyFill="1" applyBorder="1" applyAlignment="1">
      <alignment horizontal="left"/>
    </xf>
    <xf numFmtId="0" fontId="8" fillId="9" borderId="19" xfId="0" applyFont="1" applyFill="1" applyBorder="1" applyAlignment="1">
      <alignment horizontal="left"/>
    </xf>
    <xf numFmtId="0" fontId="5" fillId="8" borderId="33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0" fontId="5" fillId="8" borderId="25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 vertical="center"/>
    </xf>
    <xf numFmtId="172" fontId="12" fillId="9" borderId="0" xfId="0" applyNumberFormat="1" applyFont="1" applyFill="1"/>
    <xf numFmtId="172" fontId="0" fillId="9" borderId="0" xfId="0" applyNumberFormat="1" applyFill="1"/>
  </cellXfs>
  <cellStyles count="5">
    <cellStyle name="Comma" xfId="1" builtinId="3"/>
    <cellStyle name="Currency" xfId="2" builtinId="4"/>
    <cellStyle name="Currency 2" xfId="4" xr:uid="{52C67253-137C-054E-8A67-B6BB1B7F5B39}"/>
    <cellStyle name="Normal" xfId="0" builtinId="0"/>
    <cellStyle name="Normal 2" xfId="3" xr:uid="{47969FCF-2557-DB47-B5E0-28647A26FA60}"/>
  </cellStyles>
  <dxfs count="0"/>
  <tableStyles count="0" defaultTableStyle="TableStyleMedium2" defaultPivotStyle="PivotStyleLight16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ICER - Strategy </a:t>
            </a:r>
            <a:r>
              <a:rPr lang="en-US" altLang="zh-CN"/>
              <a:t>A</a:t>
            </a:r>
            <a:r>
              <a:rPr lang="en-US"/>
              <a:t> - Tornado</a:t>
            </a:r>
            <a:r>
              <a:rPr lang="en-US" baseline="0"/>
              <a:t>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'One-way DSA'!$H$3</c:f>
              <c:strCache>
                <c:ptCount val="1"/>
                <c:pt idx="0">
                  <c:v>lower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'One-way DSA'!$G$4:$G$5</c:f>
              <c:strCache>
                <c:ptCount val="2"/>
                <c:pt idx="0">
                  <c:v>pStage3Death</c:v>
                </c:pt>
                <c:pt idx="1">
                  <c:v>cTrtA</c:v>
                </c:pt>
              </c:strCache>
            </c:strRef>
          </c:cat>
          <c:val>
            <c:numRef>
              <c:f>'One-way DSA'!$H$4:$H$5</c:f>
              <c:numCache>
                <c:formatCode>_("$"* #,##0_);_("$"* \(#,##0\);_("$"* "-"??_);_(@_)</c:formatCode>
                <c:ptCount val="2"/>
                <c:pt idx="0">
                  <c:v>75242.790515618355</c:v>
                </c:pt>
                <c:pt idx="1">
                  <c:v>57410.500160241951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96-244E-968F-D81E3A410A7D}"/>
            </c:ext>
          </c:extLst>
        </c:ser>
        <c:ser>
          <c:idx val="1"/>
          <c:order val="1"/>
          <c:tx>
            <c:strRef>
              <c:f>'One-way DSA'!$I$3</c:f>
              <c:strCache>
                <c:ptCount val="1"/>
                <c:pt idx="0">
                  <c:v>upper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'One-way DSA'!$G$4:$G$5</c:f>
              <c:strCache>
                <c:ptCount val="2"/>
                <c:pt idx="0">
                  <c:v>pStage3Death</c:v>
                </c:pt>
                <c:pt idx="1">
                  <c:v>cTrtA</c:v>
                </c:pt>
              </c:strCache>
            </c:strRef>
          </c:cat>
          <c:val>
            <c:numRef>
              <c:f>'One-way DSA'!$I$4:$I$5</c:f>
              <c:numCache>
                <c:formatCode>_("$"* #,##0_);_("$"* \(#,##0\);_("$"* "-"??_);_(@_)</c:formatCode>
                <c:ptCount val="2"/>
                <c:pt idx="0">
                  <c:v>-74864.766072869606</c:v>
                </c:pt>
                <c:pt idx="1">
                  <c:v>-79614.840828655011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96-244E-968F-D81E3A410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100"/>
        <c:axId val="715851055"/>
        <c:axId val="715853615"/>
      </c:barChart>
      <c:catAx>
        <c:axId val="715851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53615"/>
        <c:crossesAt val="50479"/>
        <c:auto val="1"/>
        <c:lblAlgn val="ctr"/>
        <c:lblOffset val="100"/>
        <c:noMultiLvlLbl val="0"/>
      </c:catAx>
      <c:valAx>
        <c:axId val="715853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5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</a:t>
            </a:r>
            <a:r>
              <a:rPr lang="en-US" baseline="0"/>
              <a:t> Monetary Benefit - Strategy D - Tornado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'One-way DSA'!$M$3</c:f>
              <c:strCache>
                <c:ptCount val="1"/>
                <c:pt idx="0">
                  <c:v>lower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'One-way DSA'!$L$4:$L$5</c:f>
              <c:strCache>
                <c:ptCount val="2"/>
                <c:pt idx="0">
                  <c:v>pStage3Death</c:v>
                </c:pt>
                <c:pt idx="1">
                  <c:v>cTrtA</c:v>
                </c:pt>
              </c:strCache>
            </c:strRef>
          </c:cat>
          <c:val>
            <c:numRef>
              <c:f>'One-way DSA'!$M$4:$M$5</c:f>
              <c:numCache>
                <c:formatCode>_("$"* #,##0_);_("$"* \(#,##0\);_("$"* "-"??_);_(@_)</c:formatCode>
                <c:ptCount val="2"/>
                <c:pt idx="0">
                  <c:v>6259327.7429329008</c:v>
                </c:pt>
                <c:pt idx="1">
                  <c:v>18085488.708717667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C7-1842-87D2-0A8DFF1C4DC2}"/>
            </c:ext>
          </c:extLst>
        </c:ser>
        <c:ser>
          <c:idx val="1"/>
          <c:order val="1"/>
          <c:tx>
            <c:strRef>
              <c:f>'One-way DSA'!$N$3</c:f>
              <c:strCache>
                <c:ptCount val="1"/>
                <c:pt idx="0">
                  <c:v>upper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7C-4F46-B253-EDC5EE2F18E1}"/>
              </c:ext>
            </c:extLst>
          </c:dPt>
          <c:cat>
            <c:strRef>
              <c:f>'One-way DSA'!$L$4:$L$5</c:f>
              <c:strCache>
                <c:ptCount val="2"/>
                <c:pt idx="0">
                  <c:v>pStage3Death</c:v>
                </c:pt>
                <c:pt idx="1">
                  <c:v>cTrtA</c:v>
                </c:pt>
              </c:strCache>
            </c:strRef>
          </c:cat>
          <c:val>
            <c:numRef>
              <c:f>'One-way DSA'!$N$4:$N$5</c:f>
              <c:numCache>
                <c:formatCode>_("$"* #,##0_);_("$"* \(#,##0\);_("$"* "-"??_);_(@_)</c:formatCode>
                <c:ptCount val="2"/>
                <c:pt idx="0">
                  <c:v>-7293816.2788028866</c:v>
                </c:pt>
                <c:pt idx="1">
                  <c:v>-3538524.9212962985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C7-1842-87D2-0A8DFF1C4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3"/>
        <c:overlap val="100"/>
        <c:axId val="715643727"/>
        <c:axId val="716153935"/>
      </c:barChart>
      <c:catAx>
        <c:axId val="715643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153935"/>
        <c:crossesAt val="1724622"/>
        <c:auto val="1"/>
        <c:lblAlgn val="ctr"/>
        <c:lblOffset val="100"/>
        <c:noMultiLvlLbl val="0"/>
      </c:catAx>
      <c:valAx>
        <c:axId val="71615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64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251215</xdr:colOff>
      <xdr:row>8</xdr:row>
      <xdr:rowOff>140702</xdr:rowOff>
    </xdr:from>
    <xdr:to>
      <xdr:col>10</xdr:col>
      <xdr:colOff>701285</xdr:colOff>
      <xdr:row>21</xdr:row>
      <xdr:rowOff>176797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1AF5EF-A711-3E41-A5B6-E46288FBEA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56258</xdr:colOff>
      <xdr:row>8</xdr:row>
      <xdr:rowOff>140701</xdr:rowOff>
    </xdr:from>
    <xdr:to>
      <xdr:col>16</xdr:col>
      <xdr:colOff>506329</xdr:colOff>
      <xdr:row>21</xdr:row>
      <xdr:rowOff>176796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D0A454-E4E6-2946-BC2D-EA7AA56841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raves, John" id="{B0E864B5-E1C7-0345-BA30-FA830D821969}" userId="S::john.graves@vumc.org::c41a603e-b262-41f8-9584-44a3aec69ed5" providerId="AD"/>
  <person displayName="Yu, Hanxuan A" id="{01B40F01-CEFB-D948-898E-FF33202415C2}" userId="S::hanxuan.a.yu@vumc.org::ecf80d46-c22a-44c6-ac2d-1fafbed2376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" dT="2022-09-16T13:31:15.61" personId="{B0E864B5-E1C7-0345-BA30-FA830D821969}" id="{214ABA1A-CE0A-E446-B19E-8F11BD115EBD}">
    <text>MMULT(TRACE, COST_PAYOFF)</text>
  </threadedComment>
  <threadedComment ref="Q1" dT="2022-09-16T13:31:29.76" personId="{B0E864B5-E1C7-0345-BA30-FA830D821969}" id="{13E2F207-3E0A-AF43-B404-DCBECB52B4DA}">
    <text>MMULT(TRACE,QALY_PAYOFF)</text>
  </threadedComment>
  <threadedComment ref="S1" dT="2022-09-16T13:30:44.25" personId="{B0E864B5-E1C7-0345-BA30-FA830D821969}" id="{B8C85DC4-1045-F54F-97D7-D46D15A15813}">
    <text xml:space="preserve">1 / (1 + d_r)^cycle, where d_r is the appropriate discount rate (e.g., 0.03) and cycle is the cycle number
</text>
  </threadedComment>
  <threadedComment ref="V1" dT="2022-09-16T13:29:59.11" personId="{B0E864B5-E1C7-0345-BA30-FA830D821969}" id="{920D4A3B-EE62-6147-B79E-6A96D806CA7D}">
    <text xml:space="preserve">1/3 in the first and last cycle.
Alternate 2/3, then 4/3 in-between. </text>
  </threadedComment>
  <threadedComment ref="X1" dT="2022-09-16T13:31:42.88" personId="{B0E864B5-E1C7-0345-BA30-FA830D821969}" id="{B0F235B5-D5AD-354D-BF69-568ADAED679E}">
    <text>Total Costs * Cycle Adjustment</text>
  </threadedComment>
  <threadedComment ref="Y1" dT="2022-09-16T13:31:53.51" personId="{B0E864B5-E1C7-0345-BA30-FA830D821969}" id="{A9B29AFB-8188-FC4E-B689-D9E16723785A}">
    <text xml:space="preserve">Total QALYs * Cycle Adjustment
</text>
  </threadedComment>
  <threadedComment ref="AA2" dT="2022-09-16T13:32:26.06" personId="{B0E864B5-E1C7-0345-BA30-FA830D821969}" id="{646DA126-87FB-C24B-B78B-8221D12D64B0}">
    <text xml:space="preserve">MMULT(TRANSPOSE(cost_adjustment),total costs)
</text>
  </threadedComment>
  <threadedComment ref="AA3" dT="2022-09-16T13:32:37.66" personId="{B0E864B5-E1C7-0345-BA30-FA830D821969}" id="{6532F39A-9A04-9146-B89A-DFCF4DB83267}">
    <text>MMULT(TRANSPOSE(qaly_adjustment),total qualms)</text>
  </threadedComment>
  <threadedComment ref="AB3" dT="2022-11-04T16:40:27.22" personId="{01B40F01-CEFB-D948-898E-FF33202415C2}" id="{89B59A91-F985-8A4A-8BFF-47EFC2F2774E}">
    <text>Here include the cycle 0(333), while the original one didn’t include. Can just delete the cycle0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O1" dT="2022-09-16T13:31:15.61" personId="{B0E864B5-E1C7-0345-BA30-FA830D821969}" id="{B5F2D97F-0054-934B-9623-64F468E51495}">
    <text>MMULT(TRACE, COST_PAYOFF)</text>
  </threadedComment>
  <threadedComment ref="Q1" dT="2022-09-16T13:31:29.76" personId="{B0E864B5-E1C7-0345-BA30-FA830D821969}" id="{70BF3488-AB96-7B45-89A2-F5A19B4799EC}">
    <text>MMULT(TRACE,QALY_PAYOFF)</text>
  </threadedComment>
  <threadedComment ref="S1" dT="2022-09-16T13:30:44.25" personId="{B0E864B5-E1C7-0345-BA30-FA830D821969}" id="{CEE95008-1C12-2D42-BDC4-9496B59C808A}">
    <text xml:space="preserve">1 / (1 + d_r)^cycle, where d_r is the appropriate discount rate (e.g., 0.03) and cycle is the cycle number
</text>
  </threadedComment>
  <threadedComment ref="V1" dT="2022-09-16T13:29:59.11" personId="{B0E864B5-E1C7-0345-BA30-FA830D821969}" id="{99B586DE-FE40-504D-8C89-8154561726A3}">
    <text xml:space="preserve">1/3 in the first and last cycle.
Alternate 2/3, then 4/3 in-between. </text>
  </threadedComment>
  <threadedComment ref="X1" dT="2022-09-16T13:31:42.88" personId="{B0E864B5-E1C7-0345-BA30-FA830D821969}" id="{817C0A11-5CA7-E047-B500-05EBC9CC19FC}">
    <text>Total Costs * Cycle Adjustment</text>
  </threadedComment>
  <threadedComment ref="Y1" dT="2022-09-16T13:31:53.51" personId="{B0E864B5-E1C7-0345-BA30-FA830D821969}" id="{C2B9D41A-5C9E-2844-99D6-6EA58722C2B5}">
    <text xml:space="preserve">Total QALYs * Cycle Adjustment
</text>
  </threadedComment>
  <threadedComment ref="AA2" dT="2022-09-16T13:32:26.06" personId="{B0E864B5-E1C7-0345-BA30-FA830D821969}" id="{7E3055AE-2441-044F-AE29-AE215E257B6B}">
    <text xml:space="preserve">MMULT(TRANSPOSE(cost_adjustment),total costs)
</text>
  </threadedComment>
  <threadedComment ref="AA3" dT="2022-09-16T13:32:37.66" personId="{B0E864B5-E1C7-0345-BA30-FA830D821969}" id="{76FDF45E-118C-824C-9782-4E7496E74369}">
    <text>MMULT(TRANSPOSE(qaly_adjustment),total qualms)</text>
  </threadedComment>
  <threadedComment ref="AB3" dT="2022-11-04T16:40:27.22" personId="{01B40F01-CEFB-D948-898E-FF33202415C2}" id="{62424B44-BC7D-4D4F-B6A8-5DE171AB1891}">
    <text>Here include the cycle 0(333), while the original one didn’t include. Can just delete the cycle0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O1" dT="2022-09-16T13:31:15.61" personId="{B0E864B5-E1C7-0345-BA30-FA830D821969}" id="{9C9C2E77-7C3B-2745-A163-300DEF234BD4}">
    <text>MMULT(TRACE, COST_PAYOFF)</text>
  </threadedComment>
  <threadedComment ref="Q1" dT="2022-09-16T13:31:29.76" personId="{B0E864B5-E1C7-0345-BA30-FA830D821969}" id="{E3698469-7063-004C-B272-B2150DFA234F}">
    <text>MMULT(TRACE,QALY_PAYOFF)</text>
  </threadedComment>
  <threadedComment ref="S1" dT="2022-09-16T13:30:44.25" personId="{B0E864B5-E1C7-0345-BA30-FA830D821969}" id="{BF061D60-8917-DF4A-B718-4922F2755DD4}">
    <text xml:space="preserve">1 / (1 + d_r)^cycle, where d_r is the appropriate discount rate (e.g., 0.03) and cycle is the cycle number
</text>
  </threadedComment>
  <threadedComment ref="V1" dT="2022-09-16T13:29:59.11" personId="{B0E864B5-E1C7-0345-BA30-FA830D821969}" id="{EC6F8FDB-A346-5D4F-8A4A-8529D9EFD481}">
    <text xml:space="preserve">1/3 in the first and last cycle.
Alternate 2/3, then 4/3 in-between. </text>
  </threadedComment>
  <threadedComment ref="X1" dT="2022-09-16T13:31:42.88" personId="{B0E864B5-E1C7-0345-BA30-FA830D821969}" id="{FD4DC96B-9DF6-644F-9C07-DFF554E6004A}">
    <text>Total Costs * Cycle Adjustment</text>
  </threadedComment>
  <threadedComment ref="Y1" dT="2022-09-16T13:31:53.51" personId="{B0E864B5-E1C7-0345-BA30-FA830D821969}" id="{C2CB2625-68C3-4B42-A02B-0DC09209EAEE}">
    <text xml:space="preserve">Total QALYs * Cycle Adjustment
</text>
  </threadedComment>
  <threadedComment ref="AA2" dT="2022-09-16T13:32:26.06" personId="{B0E864B5-E1C7-0345-BA30-FA830D821969}" id="{3EC12DA1-3300-3641-A973-1731B508E4E0}">
    <text xml:space="preserve">MMULT(TRANSPOSE(cost_adjustment),total costs)
</text>
  </threadedComment>
  <threadedComment ref="AA3" dT="2022-09-16T13:32:37.66" personId="{B0E864B5-E1C7-0345-BA30-FA830D821969}" id="{FE779CE5-7FA6-5146-86AD-D60DECC8C5DC}">
    <text>MMULT(TRANSPOSE(qaly_adjustment),total qualms)</text>
  </threadedComment>
  <threadedComment ref="AB3" dT="2022-11-04T16:40:27.22" personId="{01B40F01-CEFB-D948-898E-FF33202415C2}" id="{F7CE99EA-87FD-7941-8866-2638B34C5DC0}">
    <text>Here include the cycle 0(333), while the original one didn’t include. Can just delete the cycle0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O1" dT="2022-09-16T13:31:15.61" personId="{B0E864B5-E1C7-0345-BA30-FA830D821969}" id="{4D5EBB8C-15B6-3E44-91BE-607E64FF9A61}">
    <text>MMULT(TRACE, COST_PAYOFF)</text>
  </threadedComment>
  <threadedComment ref="Q1" dT="2022-09-16T13:31:29.76" personId="{B0E864B5-E1C7-0345-BA30-FA830D821969}" id="{EA836A97-EFD3-9047-B5F9-4C01BA94F810}">
    <text>MMULT(TRACE,QALY_PAYOFF)</text>
  </threadedComment>
  <threadedComment ref="S1" dT="2022-09-16T13:30:44.25" personId="{B0E864B5-E1C7-0345-BA30-FA830D821969}" id="{E38611E2-A605-8945-B5A0-A570097B032D}">
    <text xml:space="preserve">1 / (1 + d_r)^cycle, where d_r is the appropriate discount rate (e.g., 0.03) and cycle is the cycle number
</text>
  </threadedComment>
  <threadedComment ref="V1" dT="2022-09-16T13:29:59.11" personId="{B0E864B5-E1C7-0345-BA30-FA830D821969}" id="{7B0E80BB-9FF6-5341-AA6D-DE49E731C6E0}">
    <text xml:space="preserve">1/3 in the first and last cycle.
Alternate 2/3, then 4/3 in-between. </text>
  </threadedComment>
  <threadedComment ref="X1" dT="2022-09-16T13:31:42.88" personId="{B0E864B5-E1C7-0345-BA30-FA830D821969}" id="{275F5540-89B1-B148-848F-7795AB76261A}">
    <text>Total Costs * Cycle Adjustment</text>
  </threadedComment>
  <threadedComment ref="Y1" dT="2022-09-16T13:31:53.51" personId="{B0E864B5-E1C7-0345-BA30-FA830D821969}" id="{021D8822-FD1C-094E-B356-3ECFF24C9C72}">
    <text xml:space="preserve">Total QALYs * Cycle Adjustment
</text>
  </threadedComment>
  <threadedComment ref="AA2" dT="2022-09-16T13:32:26.06" personId="{B0E864B5-E1C7-0345-BA30-FA830D821969}" id="{1714EE46-FA92-D140-9725-D702FA3721F5}">
    <text xml:space="preserve">MMULT(TRANSPOSE(cost_adjustment),total costs)
</text>
  </threadedComment>
  <threadedComment ref="AA3" dT="2022-09-16T13:32:37.66" personId="{B0E864B5-E1C7-0345-BA30-FA830D821969}" id="{F776CFC1-4CD7-AD4C-94E3-30A4422CAB48}">
    <text>MMULT(TRANSPOSE(qaly_adjustment),total qualms)</text>
  </threadedComment>
  <threadedComment ref="AB3" dT="2022-11-04T16:40:27.22" personId="{01B40F01-CEFB-D948-898E-FF33202415C2}" id="{6DDC40EE-DDA3-D744-8553-19492D741AAB}">
    <text>Here include the cycle 0(333), while the original one didn’t include. Can just delete the cycle0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60"/>
  <sheetViews>
    <sheetView topLeftCell="B1" zoomScale="141" workbookViewId="0">
      <pane ySplit="1" topLeftCell="A3" activePane="bottomLeft" state="frozen"/>
      <selection pane="bottomLeft" activeCell="F6" sqref="F6"/>
    </sheetView>
  </sheetViews>
  <sheetFormatPr baseColWidth="10" defaultColWidth="8.83203125" defaultRowHeight="15" x14ac:dyDescent="0.2"/>
  <cols>
    <col min="1" max="1" width="12.33203125" style="1" bestFit="1" customWidth="1"/>
    <col min="2" max="2" width="67.33203125" style="1" bestFit="1" customWidth="1"/>
    <col min="3" max="3" width="7.5" style="1" bestFit="1" customWidth="1"/>
    <col min="4" max="5" width="11.6640625" style="1" bestFit="1" customWidth="1"/>
    <col min="6" max="6" width="12.6640625" style="1" bestFit="1" customWidth="1"/>
    <col min="7" max="7" width="20.6640625" style="1" bestFit="1" customWidth="1"/>
    <col min="10" max="10" width="12.1640625" style="1" bestFit="1" customWidth="1"/>
    <col min="11" max="12" width="12.33203125" style="1" bestFit="1" customWidth="1"/>
    <col min="13" max="13" width="9.5" style="1" bestFit="1" customWidth="1"/>
    <col min="14" max="16384" width="8.83203125" style="1"/>
  </cols>
  <sheetData>
    <row r="1" spans="1:13" ht="16" thickBot="1" x14ac:dyDescent="0.25">
      <c r="A1" s="50" t="s">
        <v>81</v>
      </c>
      <c r="B1" s="50" t="s">
        <v>0</v>
      </c>
      <c r="C1" s="50" t="s">
        <v>138</v>
      </c>
      <c r="D1" s="50" t="s">
        <v>90</v>
      </c>
      <c r="E1" s="50" t="s">
        <v>91</v>
      </c>
      <c r="F1" s="50" t="s">
        <v>1</v>
      </c>
      <c r="G1" s="50" t="s">
        <v>2</v>
      </c>
    </row>
    <row r="2" spans="1:13" ht="16" thickTop="1" x14ac:dyDescent="0.2">
      <c r="A2" s="210" t="s">
        <v>82</v>
      </c>
      <c r="B2" s="51" t="s">
        <v>24</v>
      </c>
      <c r="C2" s="51"/>
      <c r="D2" s="52"/>
      <c r="E2" s="52"/>
      <c r="F2" s="52">
        <v>1000</v>
      </c>
      <c r="G2" s="51" t="s">
        <v>25</v>
      </c>
      <c r="H2" s="1"/>
    </row>
    <row r="3" spans="1:13" x14ac:dyDescent="0.2">
      <c r="A3" s="208"/>
      <c r="B3" s="1" t="s">
        <v>238</v>
      </c>
      <c r="D3" s="19"/>
      <c r="E3" s="19"/>
      <c r="F3" s="19">
        <v>30</v>
      </c>
      <c r="G3" s="1" t="s">
        <v>237</v>
      </c>
      <c r="H3" s="1"/>
    </row>
    <row r="4" spans="1:13" x14ac:dyDescent="0.2">
      <c r="A4" s="208"/>
      <c r="B4" s="1" t="s">
        <v>235</v>
      </c>
      <c r="D4" s="19"/>
      <c r="E4" s="19"/>
      <c r="F4" s="19">
        <v>1</v>
      </c>
      <c r="G4" s="1" t="s">
        <v>236</v>
      </c>
      <c r="H4" s="1"/>
    </row>
    <row r="5" spans="1:13" x14ac:dyDescent="0.2">
      <c r="A5" s="208"/>
      <c r="B5" s="1" t="s">
        <v>154</v>
      </c>
      <c r="D5" s="19"/>
      <c r="E5" s="19"/>
      <c r="F5" s="19">
        <v>5200</v>
      </c>
      <c r="G5" s="1" t="s">
        <v>155</v>
      </c>
      <c r="H5" s="1"/>
    </row>
    <row r="6" spans="1:13" x14ac:dyDescent="0.2">
      <c r="A6" s="209"/>
      <c r="B6" s="41" t="s">
        <v>78</v>
      </c>
      <c r="C6" s="41"/>
      <c r="D6" s="45"/>
      <c r="E6" s="45"/>
      <c r="F6" s="45">
        <v>0.03</v>
      </c>
      <c r="G6" s="41" t="s">
        <v>79</v>
      </c>
      <c r="H6" s="1"/>
    </row>
    <row r="7" spans="1:13" x14ac:dyDescent="0.2">
      <c r="A7" s="204" t="s">
        <v>83</v>
      </c>
      <c r="B7" s="39" t="s">
        <v>26</v>
      </c>
      <c r="C7" s="39"/>
      <c r="D7" s="43"/>
      <c r="E7" s="43"/>
      <c r="F7" s="43">
        <v>0.05</v>
      </c>
      <c r="G7" s="39" t="s">
        <v>27</v>
      </c>
      <c r="H7" s="1"/>
    </row>
    <row r="8" spans="1:13" x14ac:dyDescent="0.2">
      <c r="A8" s="205"/>
      <c r="B8" s="1" t="s">
        <v>28</v>
      </c>
      <c r="D8" s="44"/>
      <c r="E8" s="44"/>
      <c r="F8" s="44">
        <v>0.02</v>
      </c>
      <c r="G8" s="1" t="s">
        <v>30</v>
      </c>
      <c r="H8" s="1"/>
    </row>
    <row r="9" spans="1:13" x14ac:dyDescent="0.2">
      <c r="A9" s="205"/>
      <c r="B9" s="1" t="s">
        <v>29</v>
      </c>
      <c r="D9" s="44"/>
      <c r="E9" s="44"/>
      <c r="F9" s="44">
        <v>0.01</v>
      </c>
      <c r="G9" s="1" t="s">
        <v>31</v>
      </c>
      <c r="H9" s="1"/>
    </row>
    <row r="10" spans="1:13" x14ac:dyDescent="0.2">
      <c r="A10" s="205"/>
      <c r="B10" s="1" t="s">
        <v>32</v>
      </c>
      <c r="D10" s="44"/>
      <c r="E10" s="44"/>
      <c r="F10" s="44">
        <v>0.1</v>
      </c>
      <c r="G10" s="1" t="s">
        <v>34</v>
      </c>
      <c r="H10" s="1"/>
    </row>
    <row r="11" spans="1:13" x14ac:dyDescent="0.2">
      <c r="A11" s="205"/>
      <c r="B11" s="1" t="s">
        <v>33</v>
      </c>
      <c r="D11" s="44"/>
      <c r="E11" s="44"/>
      <c r="F11" s="44">
        <v>0.25</v>
      </c>
      <c r="G11" s="1" t="s">
        <v>35</v>
      </c>
      <c r="H11" s="1"/>
    </row>
    <row r="12" spans="1:13" x14ac:dyDescent="0.2">
      <c r="A12" s="205"/>
      <c r="B12" s="1" t="s">
        <v>36</v>
      </c>
      <c r="D12" s="44"/>
      <c r="E12" s="44"/>
      <c r="F12" s="44">
        <v>0.05</v>
      </c>
      <c r="G12" s="1" t="s">
        <v>39</v>
      </c>
      <c r="H12" s="1"/>
      <c r="I12" s="1"/>
    </row>
    <row r="13" spans="1:13" x14ac:dyDescent="0.2">
      <c r="A13" s="205"/>
      <c r="B13" s="1" t="s">
        <v>37</v>
      </c>
      <c r="D13" s="44"/>
      <c r="E13" s="44"/>
      <c r="F13" s="44">
        <v>0.15</v>
      </c>
      <c r="G13" s="1" t="s">
        <v>40</v>
      </c>
      <c r="H13" s="1"/>
      <c r="I13" s="178"/>
      <c r="J13" s="178"/>
      <c r="K13" s="178"/>
      <c r="L13" s="178"/>
      <c r="M13" s="178" t="s">
        <v>248</v>
      </c>
    </row>
    <row r="14" spans="1:13" x14ac:dyDescent="0.2">
      <c r="A14" s="205"/>
      <c r="B14" s="1" t="s">
        <v>38</v>
      </c>
      <c r="D14" s="44"/>
      <c r="E14" s="44"/>
      <c r="F14" s="44">
        <v>0.2</v>
      </c>
      <c r="G14" s="1" t="s">
        <v>41</v>
      </c>
      <c r="H14" s="1"/>
      <c r="I14" s="179"/>
      <c r="J14" s="179"/>
      <c r="K14" s="179" t="s">
        <v>151</v>
      </c>
      <c r="L14" s="179" t="s">
        <v>152</v>
      </c>
      <c r="M14" s="178" t="s">
        <v>247</v>
      </c>
    </row>
    <row r="15" spans="1:13" ht="16" thickBot="1" x14ac:dyDescent="0.25">
      <c r="A15" s="205"/>
      <c r="B15" s="1" t="s">
        <v>42</v>
      </c>
      <c r="D15" s="44"/>
      <c r="E15" s="44"/>
      <c r="F15" s="80">
        <v>0.05</v>
      </c>
      <c r="G15" s="1" t="s">
        <v>44</v>
      </c>
      <c r="H15" s="1"/>
      <c r="I15" s="179" t="s">
        <v>45</v>
      </c>
      <c r="J15" s="180"/>
      <c r="K15" s="181">
        <f>D16</f>
        <v>0.35</v>
      </c>
      <c r="L15" s="182">
        <f>E16</f>
        <v>0.5</v>
      </c>
      <c r="M15" s="183">
        <v>0.26976</v>
      </c>
    </row>
    <row r="16" spans="1:13" x14ac:dyDescent="0.2">
      <c r="A16" s="205"/>
      <c r="B16" s="1" t="s">
        <v>43</v>
      </c>
      <c r="D16" s="80">
        <v>0.35</v>
      </c>
      <c r="E16" s="80">
        <v>0.5</v>
      </c>
      <c r="F16" s="80">
        <v>0.45</v>
      </c>
      <c r="G16" s="1" t="s">
        <v>45</v>
      </c>
      <c r="H16" s="1"/>
      <c r="I16" s="179" t="s">
        <v>19</v>
      </c>
      <c r="J16" s="184">
        <f>('Strategy 2 - Treatment A'!W34-'Strategy 1 - Status quo'!W34)/('Strategy 2 - Treatment A'!X34-'Strategy 1 - Status quo'!X34)</f>
        <v>75173.972694971962</v>
      </c>
      <c r="K16" s="185">
        <f t="dataTable" ref="K16:M17" dt2D="0" dtr="1" r1="F16" ca="1"/>
        <v>76001.343413274924</v>
      </c>
      <c r="L16" s="186">
        <v>74864.766072870014</v>
      </c>
      <c r="M16" s="187">
        <v>76989.150282737217</v>
      </c>
    </row>
    <row r="17" spans="1:13" ht="16" thickBot="1" x14ac:dyDescent="0.25">
      <c r="A17" s="205"/>
      <c r="B17" s="1" t="s">
        <v>46</v>
      </c>
      <c r="D17" s="44"/>
      <c r="E17" s="44"/>
      <c r="F17" s="44">
        <v>0.1</v>
      </c>
      <c r="G17" s="1" t="s">
        <v>48</v>
      </c>
      <c r="H17" s="1"/>
      <c r="I17" s="179" t="s">
        <v>153</v>
      </c>
      <c r="J17" s="184">
        <f>'Strategy 2 - Treatment A'!X34*wtp-'Strategy 2 - Treatment A'!W34</f>
        <v>5058725.9239503294</v>
      </c>
      <c r="K17" s="188">
        <v>2767857.6025438756</v>
      </c>
      <c r="L17" s="189">
        <v>5909902.2168179899</v>
      </c>
      <c r="M17" s="190">
        <v>219.37992015480995</v>
      </c>
    </row>
    <row r="18" spans="1:13" x14ac:dyDescent="0.2">
      <c r="A18" s="205"/>
      <c r="B18" s="1" t="s">
        <v>47</v>
      </c>
      <c r="D18" s="44"/>
      <c r="E18" s="44"/>
      <c r="F18" s="44">
        <v>0.05</v>
      </c>
      <c r="G18" s="1" t="s">
        <v>49</v>
      </c>
      <c r="H18" s="1"/>
      <c r="I18" s="178"/>
      <c r="J18" s="178"/>
      <c r="K18" s="178"/>
      <c r="L18" s="178"/>
      <c r="M18" s="178"/>
    </row>
    <row r="19" spans="1:13" ht="15" customHeight="1" thickBot="1" x14ac:dyDescent="0.25">
      <c r="A19" s="205"/>
      <c r="B19" s="1" t="s">
        <v>94</v>
      </c>
      <c r="D19" s="44"/>
      <c r="E19" s="44"/>
      <c r="F19" s="44">
        <v>0.02</v>
      </c>
      <c r="G19" s="1" t="s">
        <v>86</v>
      </c>
      <c r="H19" s="1"/>
      <c r="I19" s="191" t="s">
        <v>101</v>
      </c>
      <c r="J19" s="192"/>
      <c r="K19" s="193">
        <f>D52</f>
        <v>8000</v>
      </c>
      <c r="L19" s="194">
        <f>E52</f>
        <v>10500</v>
      </c>
      <c r="M19" s="195">
        <v>10869.38</v>
      </c>
    </row>
    <row r="20" spans="1:13" ht="16" x14ac:dyDescent="0.2">
      <c r="A20" s="205"/>
      <c r="B20" s="1" t="s">
        <v>96</v>
      </c>
      <c r="D20" s="44"/>
      <c r="E20" s="44"/>
      <c r="F20" s="44">
        <v>0.01</v>
      </c>
      <c r="G20" s="1" t="s">
        <v>87</v>
      </c>
      <c r="H20" s="1"/>
      <c r="I20" s="191" t="s">
        <v>19</v>
      </c>
      <c r="J20" s="184">
        <f>('Strategy 2 - Treatment A'!W34-'Strategy 1 - Status quo'!W34)/('Strategy 2 - Treatment A'!X34-'Strategy 1 - Status quo'!X34)</f>
        <v>75173.972694971962</v>
      </c>
      <c r="K20" s="185">
        <f t="dataTable" ref="K20:M21" dt2D="0" dtr="1" r1="F52"/>
        <v>57410.500160241631</v>
      </c>
      <c r="L20" s="186">
        <v>79614.840828654575</v>
      </c>
      <c r="M20" s="187">
        <v>82895.576571093887</v>
      </c>
    </row>
    <row r="21" spans="1:13" ht="17" thickBot="1" x14ac:dyDescent="0.25">
      <c r="A21" s="205"/>
      <c r="B21" s="1" t="s">
        <v>97</v>
      </c>
      <c r="D21" s="44"/>
      <c r="E21" s="44"/>
      <c r="F21" s="44">
        <v>0.08</v>
      </c>
      <c r="G21" s="1" t="s">
        <v>88</v>
      </c>
      <c r="H21" s="1"/>
      <c r="I21" s="191" t="s">
        <v>153</v>
      </c>
      <c r="J21" s="184">
        <f>'Strategy 2 - Treatment A'!X34*wtp-'Strategy 2 - Treatment A'!W34</f>
        <v>5058725.9239503294</v>
      </c>
      <c r="K21" s="188">
        <v>16696296.95388741</v>
      </c>
      <c r="L21" s="189">
        <v>2149333.1664660424</v>
      </c>
      <c r="M21" s="190">
        <v>-9.8270530104637146</v>
      </c>
    </row>
    <row r="22" spans="1:13" x14ac:dyDescent="0.2">
      <c r="A22" s="205"/>
      <c r="B22" s="1" t="s">
        <v>95</v>
      </c>
      <c r="D22" s="44"/>
      <c r="E22" s="44"/>
      <c r="F22" s="44">
        <v>0.03</v>
      </c>
      <c r="G22" s="1" t="s">
        <v>89</v>
      </c>
      <c r="H22" s="1"/>
      <c r="I22" s="1"/>
    </row>
    <row r="23" spans="1:13" x14ac:dyDescent="0.2">
      <c r="A23" s="205"/>
      <c r="B23" s="1" t="s">
        <v>98</v>
      </c>
      <c r="D23" s="44"/>
      <c r="E23" s="44"/>
      <c r="F23" s="44">
        <v>0.05</v>
      </c>
      <c r="G23" s="1" t="s">
        <v>92</v>
      </c>
      <c r="H23" s="1"/>
      <c r="I23" s="1"/>
    </row>
    <row r="24" spans="1:13" x14ac:dyDescent="0.2">
      <c r="A24" s="206"/>
      <c r="B24" s="41" t="s">
        <v>99</v>
      </c>
      <c r="C24" s="41"/>
      <c r="D24" s="45"/>
      <c r="E24" s="45"/>
      <c r="F24" s="45">
        <v>0.02</v>
      </c>
      <c r="G24" s="41" t="s">
        <v>93</v>
      </c>
      <c r="H24" s="1"/>
      <c r="I24" s="1"/>
    </row>
    <row r="25" spans="1:13" ht="16" customHeight="1" x14ac:dyDescent="0.2">
      <c r="A25" s="204" t="s">
        <v>104</v>
      </c>
      <c r="B25" s="39" t="s">
        <v>105</v>
      </c>
      <c r="C25" s="39"/>
      <c r="D25" s="43"/>
      <c r="E25" s="43"/>
      <c r="F25" s="81">
        <f>-LN(1-pHealthyStage1-pHealthyStage2-pHealthyStage3)*pHealthyStage1/(pHealthyStage1+pHealthyStage2+pHealthyStage3)</f>
        <v>5.2113505586906958E-2</v>
      </c>
      <c r="G25" s="39" t="s">
        <v>121</v>
      </c>
      <c r="H25" s="1"/>
      <c r="I25" s="1"/>
    </row>
    <row r="26" spans="1:13" ht="16" customHeight="1" x14ac:dyDescent="0.2">
      <c r="A26" s="205"/>
      <c r="B26" s="1" t="s">
        <v>106</v>
      </c>
      <c r="D26" s="44"/>
      <c r="E26" s="44"/>
      <c r="F26" s="82">
        <f>-LN(1-pHealthyStage1-pHealthyStage2-pHealthyStage3)*pHealthyStage2/(pHealthyStage1+pHealthyStage2+pHealthyStage3)</f>
        <v>2.0845402234762785E-2</v>
      </c>
      <c r="G26" s="1" t="s">
        <v>122</v>
      </c>
      <c r="H26" s="1"/>
      <c r="I26" s="1"/>
    </row>
    <row r="27" spans="1:13" ht="16" customHeight="1" x14ac:dyDescent="0.2">
      <c r="A27" s="205"/>
      <c r="B27" s="1" t="s">
        <v>107</v>
      </c>
      <c r="D27" s="44"/>
      <c r="E27" s="44"/>
      <c r="F27" s="82">
        <f>-LN(1-pHealthyStage1-pHealthyStage2-pHealthyStage3)*pHealthyStage3/(pHealthyStage1+pHealthyStage2+pHealthyStage3)</f>
        <v>1.0422701117381392E-2</v>
      </c>
      <c r="G27" s="1" t="s">
        <v>123</v>
      </c>
      <c r="H27" s="1"/>
      <c r="I27" s="1"/>
    </row>
    <row r="28" spans="1:13" ht="16" customHeight="1" x14ac:dyDescent="0.2">
      <c r="A28" s="205"/>
      <c r="B28" s="1" t="s">
        <v>108</v>
      </c>
      <c r="D28" s="44"/>
      <c r="E28" s="44"/>
      <c r="F28" s="82">
        <f>-LN(1-pStage1Remission-pStage1Stage2)*pStage1Stage2/(pStage1Remission+pStage1Stage2)</f>
        <v>0.12308083316927264</v>
      </c>
      <c r="G28" s="1" t="s">
        <v>124</v>
      </c>
      <c r="H28" s="1"/>
      <c r="I28" s="1"/>
    </row>
    <row r="29" spans="1:13" ht="16" customHeight="1" x14ac:dyDescent="0.2">
      <c r="A29" s="205"/>
      <c r="B29" s="1" t="s">
        <v>109</v>
      </c>
      <c r="D29" s="44"/>
      <c r="E29" s="44"/>
      <c r="F29" s="82">
        <f>-LN(1-pStage1Remission-pStage1Stage2)*pStage1Remission/(pStage1Remission+pStage1Stage2)</f>
        <v>0.30770208292318163</v>
      </c>
      <c r="G29" s="1" t="s">
        <v>125</v>
      </c>
      <c r="H29" s="1"/>
      <c r="I29" s="1"/>
    </row>
    <row r="30" spans="1:13" ht="16" customHeight="1" x14ac:dyDescent="0.2">
      <c r="A30" s="205"/>
      <c r="B30" s="1" t="s">
        <v>111</v>
      </c>
      <c r="D30" s="44"/>
      <c r="E30" s="44"/>
      <c r="F30" s="82">
        <f>-LN(1-pStage2Remission-pStage2Stage1-pStage2Stage3)*pStage2Stage1/(pStage2Remission+pStage2Stage1+pStage2Stage3)</f>
        <v>6.385320297074884E-2</v>
      </c>
      <c r="G30" s="1" t="s">
        <v>126</v>
      </c>
      <c r="H30" s="1"/>
      <c r="I30" s="1"/>
    </row>
    <row r="31" spans="1:13" ht="16" customHeight="1" x14ac:dyDescent="0.2">
      <c r="A31" s="205"/>
      <c r="B31" s="1" t="s">
        <v>112</v>
      </c>
      <c r="D31" s="44"/>
      <c r="E31" s="44"/>
      <c r="F31" s="82">
        <f>-LN(1-pStage2Remission-pStage2Stage1-pStage2Stage3)*pStage2Stage3/(pStage2Remission+pStage2Stage1+pStage2Stage3)</f>
        <v>0.19155960891224652</v>
      </c>
      <c r="G31" s="1" t="s">
        <v>127</v>
      </c>
      <c r="H31" s="1"/>
      <c r="I31" s="1"/>
    </row>
    <row r="32" spans="1:13" ht="16" customHeight="1" x14ac:dyDescent="0.2">
      <c r="A32" s="205"/>
      <c r="B32" s="1" t="s">
        <v>110</v>
      </c>
      <c r="E32" s="44"/>
      <c r="F32" s="82">
        <f>-LN(1-pStage2Remission-pStage2Stage1-pStage2Stage3)*pStage2Remission/(pStage2Remission+pStage2Stage1+pStage2Stage3)</f>
        <v>0.25541281188299536</v>
      </c>
      <c r="G32" s="1" t="s">
        <v>128</v>
      </c>
      <c r="H32" s="1"/>
      <c r="I32" s="1"/>
    </row>
    <row r="33" spans="1:9" ht="16" customHeight="1" x14ac:dyDescent="0.2">
      <c r="A33" s="205"/>
      <c r="B33" s="1" t="s">
        <v>113</v>
      </c>
      <c r="D33" s="44"/>
      <c r="E33" s="44"/>
      <c r="F33" s="82">
        <f>-LN(1-pStage3Death-pStage3Stage2)*pStage3Stage2/(pStage3Death+pStage3Stage2)</f>
        <v>6.9314718055994526E-2</v>
      </c>
      <c r="G33" s="1" t="s">
        <v>129</v>
      </c>
      <c r="H33" s="1"/>
      <c r="I33" s="1"/>
    </row>
    <row r="34" spans="1:9" ht="16" customHeight="1" x14ac:dyDescent="0.2">
      <c r="A34" s="205"/>
      <c r="B34" s="1" t="s">
        <v>114</v>
      </c>
      <c r="D34" s="44"/>
      <c r="E34" s="44"/>
      <c r="F34" s="82">
        <f>-LN(1-pStage3Death-pStage3Stage2)*pStage3Death/(pStage3Death+pStage3Stage2)</f>
        <v>0.62383246250395075</v>
      </c>
      <c r="G34" s="1" t="s">
        <v>130</v>
      </c>
      <c r="H34" s="1"/>
      <c r="I34" s="1"/>
    </row>
    <row r="35" spans="1:9" ht="16" customHeight="1" x14ac:dyDescent="0.2">
      <c r="A35" s="205"/>
      <c r="B35" s="1" t="s">
        <v>178</v>
      </c>
      <c r="D35" s="44"/>
      <c r="E35" s="44"/>
      <c r="F35" s="82">
        <f>-LN(1-pRemissionStage1-pRemissionStage2)*pRemissionStage1/(pRemissionStage1+pRemissionStage2)</f>
        <v>0.10834595299851661</v>
      </c>
      <c r="G35" s="1" t="s">
        <v>180</v>
      </c>
      <c r="H35" s="1"/>
      <c r="I35" s="1"/>
    </row>
    <row r="36" spans="1:9" ht="16" customHeight="1" x14ac:dyDescent="0.2">
      <c r="A36" s="205"/>
      <c r="B36" s="1" t="s">
        <v>179</v>
      </c>
      <c r="D36" s="44"/>
      <c r="E36" s="44"/>
      <c r="F36" s="82">
        <f>-LN(1-pRemissionStage1-pRemissionStage2)*pRemissionStage2/(pRemissionStage1+pRemissionStage2)</f>
        <v>5.4172976499258306E-2</v>
      </c>
      <c r="G36" s="1" t="s">
        <v>181</v>
      </c>
      <c r="H36" s="1"/>
      <c r="I36" s="1"/>
    </row>
    <row r="37" spans="1:9" ht="16" customHeight="1" x14ac:dyDescent="0.2">
      <c r="A37" s="205"/>
      <c r="B37" s="1" t="s">
        <v>115</v>
      </c>
      <c r="D37" s="44"/>
      <c r="E37" s="44"/>
      <c r="F37" s="82">
        <f>-LN(1-pRemissionStage1_trtA-pRemissionStage2_trtA)*pRemissionStage1_trtA/(pRemissionStage1_trtA+pRemissionStage2_trtA)/rRemissionStage1</f>
        <v>0.18741944448462294</v>
      </c>
      <c r="G37" s="1" t="s">
        <v>131</v>
      </c>
      <c r="H37" s="1"/>
      <c r="I37" s="1"/>
    </row>
    <row r="38" spans="1:9" ht="16" customHeight="1" x14ac:dyDescent="0.2">
      <c r="A38" s="205"/>
      <c r="B38" s="1" t="s">
        <v>116</v>
      </c>
      <c r="D38" s="44"/>
      <c r="E38" s="44"/>
      <c r="F38" s="82">
        <f>-LN(1-pRemissionStage1_trtA-pRemissionStage2_trtA)*pRemissionStage2_trtA/(pRemissionStage1_trtA+pRemissionStage2_trtA)/rRemissionStage2</f>
        <v>0.18741944448462294</v>
      </c>
      <c r="G38" s="1" t="s">
        <v>132</v>
      </c>
      <c r="H38" s="1"/>
      <c r="I38" s="1"/>
    </row>
    <row r="39" spans="1:9" ht="16" customHeight="1" x14ac:dyDescent="0.2">
      <c r="A39" s="205"/>
      <c r="B39" s="1" t="s">
        <v>117</v>
      </c>
      <c r="D39" s="44"/>
      <c r="E39" s="44"/>
      <c r="F39" s="82">
        <f>-LN(1-pRemissionStage1_trtB-pRemissionStage2_trtB)*pRemissionStage1_trtB/(pRemissionStage1_trtB+pRemissionStage2_trtB)/rRemissionStage1</f>
        <v>0.78223379851691444</v>
      </c>
      <c r="G39" s="1" t="s">
        <v>133</v>
      </c>
      <c r="H39" s="1"/>
      <c r="I39" s="1"/>
    </row>
    <row r="40" spans="1:9" ht="16" customHeight="1" x14ac:dyDescent="0.2">
      <c r="A40" s="205"/>
      <c r="B40" s="1" t="s">
        <v>118</v>
      </c>
      <c r="D40" s="44"/>
      <c r="E40" s="44"/>
      <c r="F40" s="82">
        <f>-LN(1-pRemissionStage1_trtB-pRemissionStage2_trtB)*pRemissionStage2_trtB/(pRemissionStage1_trtB+pRemissionStage2_trtB)/rRemissionStage2</f>
        <v>0.5866753488876858</v>
      </c>
      <c r="G40" s="1" t="s">
        <v>134</v>
      </c>
      <c r="H40" s="1"/>
      <c r="I40" s="1"/>
    </row>
    <row r="41" spans="1:9" x14ac:dyDescent="0.2">
      <c r="A41" s="205"/>
      <c r="B41" s="1" t="s">
        <v>119</v>
      </c>
      <c r="D41" s="44"/>
      <c r="E41" s="44"/>
      <c r="F41" s="82">
        <f>-LN(1-pRemissionStage1_trtC-pRemissionStage2_trtC)*pRemissionStage1_trtC/(pRemissionStage1_trtC+pRemissionStage2_trtC)/rRemissionStage1</f>
        <v>0.47843235241513216</v>
      </c>
      <c r="G41" s="1" t="s">
        <v>136</v>
      </c>
      <c r="H41" s="1"/>
      <c r="I41" s="1"/>
    </row>
    <row r="42" spans="1:9" x14ac:dyDescent="0.2">
      <c r="A42" s="206"/>
      <c r="B42" s="1" t="s">
        <v>120</v>
      </c>
      <c r="D42" s="45"/>
      <c r="E42" s="45"/>
      <c r="F42" s="82">
        <f>-LN(1-pRemissionStage1_trtC-pRemissionStage2_trtC)*pRemissionStage2_trtC/(pRemissionStage1_trtC+pRemissionStage2_trtC)/rRemissionStage2</f>
        <v>0.38274588193210568</v>
      </c>
      <c r="G42" s="1" t="s">
        <v>135</v>
      </c>
      <c r="H42" s="1"/>
      <c r="I42" s="1"/>
    </row>
    <row r="43" spans="1:9" x14ac:dyDescent="0.2">
      <c r="A43" s="207" t="s">
        <v>100</v>
      </c>
      <c r="B43" s="39" t="s">
        <v>50</v>
      </c>
      <c r="C43" s="39"/>
      <c r="D43" s="39"/>
      <c r="E43" s="39"/>
      <c r="F43" s="39">
        <v>4</v>
      </c>
      <c r="G43" s="39" t="s">
        <v>58</v>
      </c>
      <c r="H43" s="1"/>
      <c r="I43" s="1"/>
    </row>
    <row r="44" spans="1:9" x14ac:dyDescent="0.2">
      <c r="A44" s="208"/>
      <c r="B44" s="1" t="s">
        <v>51</v>
      </c>
      <c r="F44" s="1">
        <v>12</v>
      </c>
      <c r="G44" s="1" t="s">
        <v>59</v>
      </c>
      <c r="H44" s="1"/>
      <c r="I44" s="1"/>
    </row>
    <row r="45" spans="1:9" x14ac:dyDescent="0.2">
      <c r="A45" s="208"/>
      <c r="B45" s="1" t="s">
        <v>52</v>
      </c>
      <c r="F45" s="1">
        <v>52</v>
      </c>
      <c r="G45" s="1" t="s">
        <v>60</v>
      </c>
      <c r="H45" s="1"/>
      <c r="I45" s="1"/>
    </row>
    <row r="46" spans="1:9" x14ac:dyDescent="0.2">
      <c r="A46" s="208"/>
      <c r="B46" s="1" t="s">
        <v>53</v>
      </c>
      <c r="F46" s="1">
        <v>1</v>
      </c>
      <c r="G46" s="1" t="s">
        <v>61</v>
      </c>
      <c r="H46" s="1"/>
      <c r="I46" s="1"/>
    </row>
    <row r="47" spans="1:9" x14ac:dyDescent="0.2">
      <c r="A47" s="208"/>
      <c r="B47" s="1" t="s">
        <v>65</v>
      </c>
      <c r="D47" s="40"/>
      <c r="E47" s="40"/>
      <c r="F47" s="40">
        <v>100</v>
      </c>
      <c r="G47" s="1" t="s">
        <v>66</v>
      </c>
      <c r="H47" s="1"/>
      <c r="I47" s="1"/>
    </row>
    <row r="48" spans="1:9" x14ac:dyDescent="0.2">
      <c r="A48" s="208"/>
      <c r="B48" s="1" t="s">
        <v>54</v>
      </c>
      <c r="D48" s="40"/>
      <c r="E48" s="40"/>
      <c r="F48" s="40">
        <v>1200</v>
      </c>
      <c r="G48" s="1" t="s">
        <v>62</v>
      </c>
      <c r="H48" s="1"/>
      <c r="I48" s="1"/>
    </row>
    <row r="49" spans="1:9" x14ac:dyDescent="0.2">
      <c r="A49" s="208"/>
      <c r="B49" s="1" t="s">
        <v>55</v>
      </c>
      <c r="D49" s="40"/>
      <c r="E49" s="40"/>
      <c r="F49" s="40">
        <v>6000</v>
      </c>
      <c r="G49" s="1" t="s">
        <v>63</v>
      </c>
      <c r="H49" s="1"/>
      <c r="I49" s="1"/>
    </row>
    <row r="50" spans="1:9" x14ac:dyDescent="0.2">
      <c r="A50" s="208"/>
      <c r="B50" s="1" t="s">
        <v>56</v>
      </c>
      <c r="D50" s="40"/>
      <c r="E50" s="40"/>
      <c r="F50" s="40">
        <v>18000</v>
      </c>
      <c r="G50" s="1" t="s">
        <v>64</v>
      </c>
      <c r="H50" s="1"/>
      <c r="I50" s="1"/>
    </row>
    <row r="51" spans="1:9" x14ac:dyDescent="0.2">
      <c r="A51" s="208"/>
      <c r="B51" s="1" t="s">
        <v>57</v>
      </c>
      <c r="D51" s="40"/>
      <c r="E51" s="40"/>
      <c r="F51" s="40">
        <v>400</v>
      </c>
      <c r="G51" s="1" t="s">
        <v>67</v>
      </c>
      <c r="H51" s="1"/>
      <c r="I51" s="1"/>
    </row>
    <row r="52" spans="1:9" x14ac:dyDescent="0.2">
      <c r="A52" s="208"/>
      <c r="B52" s="1" t="s">
        <v>139</v>
      </c>
      <c r="D52" s="40">
        <v>8000</v>
      </c>
      <c r="E52" s="40">
        <v>10500</v>
      </c>
      <c r="F52" s="40">
        <v>10000</v>
      </c>
      <c r="G52" s="1" t="s">
        <v>101</v>
      </c>
      <c r="H52" s="1"/>
      <c r="I52" s="1"/>
    </row>
    <row r="53" spans="1:9" x14ac:dyDescent="0.2">
      <c r="A53" s="208"/>
      <c r="B53" s="1" t="s">
        <v>140</v>
      </c>
      <c r="D53" s="40"/>
      <c r="E53" s="40"/>
      <c r="F53" s="40">
        <v>7500</v>
      </c>
      <c r="G53" s="1" t="s">
        <v>102</v>
      </c>
      <c r="H53" s="1"/>
      <c r="I53" s="1"/>
    </row>
    <row r="54" spans="1:9" x14ac:dyDescent="0.2">
      <c r="A54" s="209"/>
      <c r="B54" s="41" t="s">
        <v>141</v>
      </c>
      <c r="C54" s="41"/>
      <c r="D54" s="42"/>
      <c r="E54" s="42"/>
      <c r="F54" s="42">
        <v>12500</v>
      </c>
      <c r="G54" s="41" t="s">
        <v>103</v>
      </c>
      <c r="H54" s="1"/>
      <c r="I54" s="1"/>
    </row>
    <row r="55" spans="1:9" x14ac:dyDescent="0.2">
      <c r="A55" s="207" t="s">
        <v>84</v>
      </c>
      <c r="B55" s="39" t="s">
        <v>68</v>
      </c>
      <c r="C55" s="39"/>
      <c r="D55" s="39"/>
      <c r="E55" s="39"/>
      <c r="F55" s="39">
        <v>1</v>
      </c>
      <c r="G55" s="39" t="s">
        <v>73</v>
      </c>
      <c r="H55" s="1"/>
      <c r="I55" s="1"/>
    </row>
    <row r="56" spans="1:9" x14ac:dyDescent="0.2">
      <c r="A56" s="208"/>
      <c r="B56" s="1" t="s">
        <v>69</v>
      </c>
      <c r="F56" s="1">
        <v>0.88</v>
      </c>
      <c r="G56" s="1" t="s">
        <v>75</v>
      </c>
    </row>
    <row r="57" spans="1:9" x14ac:dyDescent="0.2">
      <c r="A57" s="208"/>
      <c r="B57" s="1" t="s">
        <v>70</v>
      </c>
      <c r="F57" s="1">
        <v>0.71</v>
      </c>
      <c r="G57" s="1" t="s">
        <v>76</v>
      </c>
      <c r="H57" s="1"/>
      <c r="I57" s="1"/>
    </row>
    <row r="58" spans="1:9" x14ac:dyDescent="0.2">
      <c r="A58" s="208"/>
      <c r="B58" s="1" t="s">
        <v>71</v>
      </c>
      <c r="F58" s="1">
        <v>0.36</v>
      </c>
      <c r="G58" s="1" t="s">
        <v>77</v>
      </c>
      <c r="H58" s="1"/>
      <c r="I58" s="1"/>
    </row>
    <row r="59" spans="1:9" x14ac:dyDescent="0.2">
      <c r="A59" s="208"/>
      <c r="B59" s="1" t="s">
        <v>72</v>
      </c>
      <c r="F59" s="1">
        <v>0.95</v>
      </c>
      <c r="G59" s="1" t="s">
        <v>74</v>
      </c>
      <c r="H59" s="1"/>
      <c r="I59" s="1"/>
    </row>
    <row r="60" spans="1:9" x14ac:dyDescent="0.2">
      <c r="A60" s="209"/>
      <c r="B60" s="41" t="s">
        <v>239</v>
      </c>
      <c r="C60" s="41"/>
      <c r="D60" s="41"/>
      <c r="E60" s="41"/>
      <c r="F60" s="41">
        <v>0</v>
      </c>
      <c r="G60" s="41" t="s">
        <v>240</v>
      </c>
      <c r="H60" s="1"/>
      <c r="I60" s="1"/>
    </row>
  </sheetData>
  <mergeCells count="5">
    <mergeCell ref="A7:A24"/>
    <mergeCell ref="A55:A60"/>
    <mergeCell ref="A43:A54"/>
    <mergeCell ref="A25:A42"/>
    <mergeCell ref="A2:A6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B94D-43C4-8B4B-8465-2F671EF6EAF6}">
  <dimension ref="A1:H103"/>
  <sheetViews>
    <sheetView tabSelected="1" topLeftCell="A96" zoomScale="130" zoomScaleNormal="130" workbookViewId="0">
      <selection activeCell="G110" sqref="G110"/>
    </sheetView>
  </sheetViews>
  <sheetFormatPr baseColWidth="10" defaultRowHeight="15" x14ac:dyDescent="0.2"/>
  <cols>
    <col min="2" max="2" width="12.6640625" style="198" bestFit="1" customWidth="1"/>
    <col min="4" max="4" width="17.5" bestFit="1" customWidth="1"/>
    <col min="5" max="5" width="15" bestFit="1" customWidth="1"/>
  </cols>
  <sheetData>
    <row r="1" spans="1:8" ht="76" x14ac:dyDescent="0.2">
      <c r="A1" s="211" t="s">
        <v>249</v>
      </c>
      <c r="B1" s="167" t="s">
        <v>250</v>
      </c>
      <c r="C1" s="168" t="s">
        <v>251</v>
      </c>
      <c r="D1" t="s">
        <v>259</v>
      </c>
      <c r="E1" t="s">
        <v>260</v>
      </c>
      <c r="F1" t="s">
        <v>257</v>
      </c>
      <c r="G1" t="s">
        <v>258</v>
      </c>
    </row>
    <row r="2" spans="1:8" ht="16" x14ac:dyDescent="0.2">
      <c r="A2" s="212"/>
      <c r="B2" s="169" t="s">
        <v>252</v>
      </c>
      <c r="C2" s="170" t="s">
        <v>253</v>
      </c>
    </row>
    <row r="3" spans="1:8" x14ac:dyDescent="0.2">
      <c r="A3" s="171">
        <v>0</v>
      </c>
      <c r="B3" s="198">
        <v>4.9182921648025513E-3</v>
      </c>
      <c r="C3" s="172">
        <v>491.8292236328125</v>
      </c>
      <c r="E3">
        <v>0</v>
      </c>
      <c r="F3" s="196">
        <v>4.9182921648025513E-3</v>
      </c>
      <c r="G3" s="198">
        <f>F3*(1-E3)</f>
        <v>4.9182921648025513E-3</v>
      </c>
      <c r="H3" t="s">
        <v>262</v>
      </c>
    </row>
    <row r="4" spans="1:8" x14ac:dyDescent="0.2">
      <c r="A4" s="171">
        <v>1</v>
      </c>
      <c r="B4" s="198">
        <v>3.1034345738589764E-4</v>
      </c>
      <c r="C4" s="172">
        <v>30.881710052490234</v>
      </c>
      <c r="E4">
        <v>0</v>
      </c>
      <c r="F4" s="196">
        <v>3.1034345738589764E-4</v>
      </c>
      <c r="G4" s="198">
        <f t="shared" ref="G4:G67" si="0">F4*(1-E4)</f>
        <v>3.1034345738589764E-4</v>
      </c>
    </row>
    <row r="5" spans="1:8" x14ac:dyDescent="0.2">
      <c r="A5" s="171">
        <v>2</v>
      </c>
      <c r="B5" s="198">
        <v>1.9920052727684379E-4</v>
      </c>
      <c r="C5" s="172">
        <v>19.815927505493164</v>
      </c>
      <c r="E5">
        <v>0</v>
      </c>
      <c r="F5" s="196">
        <v>1.9920052727684379E-4</v>
      </c>
      <c r="G5" s="198">
        <f t="shared" si="0"/>
        <v>1.9920052727684379E-4</v>
      </c>
    </row>
    <row r="6" spans="1:8" x14ac:dyDescent="0.2">
      <c r="A6" s="171">
        <v>3</v>
      </c>
      <c r="B6" s="198">
        <v>1.6134677571244538E-4</v>
      </c>
      <c r="C6" s="172">
        <v>16.047143936157227</v>
      </c>
      <c r="E6">
        <v>0</v>
      </c>
      <c r="F6" s="196">
        <v>1.6134677571244538E-4</v>
      </c>
      <c r="G6" s="198">
        <f t="shared" si="0"/>
        <v>1.6134677571244538E-4</v>
      </c>
    </row>
    <row r="7" spans="1:8" x14ac:dyDescent="0.2">
      <c r="A7" s="171">
        <v>4</v>
      </c>
      <c r="B7" s="198">
        <v>1.2305102427490056E-4</v>
      </c>
      <c r="C7" s="172">
        <v>12.236370086669922</v>
      </c>
      <c r="E7">
        <v>0</v>
      </c>
      <c r="F7" s="196">
        <v>1.2305102427490056E-4</v>
      </c>
      <c r="G7" s="198">
        <f t="shared" si="0"/>
        <v>1.2305102427490056E-4</v>
      </c>
    </row>
    <row r="8" spans="1:8" x14ac:dyDescent="0.2">
      <c r="A8" s="171">
        <v>5</v>
      </c>
      <c r="B8" s="198">
        <v>1.1461741187973384E-4</v>
      </c>
      <c r="C8" s="172">
        <v>11.429206848144531</v>
      </c>
      <c r="E8" s="197">
        <v>2.877695E-3</v>
      </c>
      <c r="F8" s="240">
        <v>1.1494819773361087E-4</v>
      </c>
      <c r="G8" s="241">
        <f t="shared" si="0"/>
        <v>1.1461741187973384E-4</v>
      </c>
      <c r="H8" t="s">
        <v>261</v>
      </c>
    </row>
    <row r="9" spans="1:8" x14ac:dyDescent="0.2">
      <c r="A9" s="171">
        <v>6</v>
      </c>
      <c r="B9" s="198">
        <v>1.0235975150852384E-4</v>
      </c>
      <c r="C9" s="172">
        <v>10.205746650695801</v>
      </c>
      <c r="E9" s="197">
        <v>2.877695E-3</v>
      </c>
      <c r="F9" s="240">
        <v>1.0265516175422817E-4</v>
      </c>
      <c r="G9" s="241">
        <f t="shared" si="0"/>
        <v>1.0235975150852384E-4</v>
      </c>
    </row>
    <row r="10" spans="1:8" x14ac:dyDescent="0.2">
      <c r="A10" s="171">
        <v>7</v>
      </c>
      <c r="B10" s="198">
        <v>9.4142709023582461E-5</v>
      </c>
      <c r="C10" s="172">
        <v>9.3855056762695312</v>
      </c>
      <c r="E10" s="197">
        <v>2.877695E-3</v>
      </c>
      <c r="F10" s="240">
        <v>9.4414404884446412E-5</v>
      </c>
      <c r="G10" s="241">
        <f t="shared" si="0"/>
        <v>9.4142709023582461E-5</v>
      </c>
    </row>
    <row r="11" spans="1:8" x14ac:dyDescent="0.2">
      <c r="A11" s="171">
        <v>8</v>
      </c>
      <c r="B11" s="198">
        <v>8.8927264044000298E-5</v>
      </c>
      <c r="C11" s="172">
        <v>8.8647184371948242</v>
      </c>
      <c r="E11" s="197">
        <v>2.877695E-3</v>
      </c>
      <c r="F11" s="240">
        <v>8.9183908130507916E-5</v>
      </c>
      <c r="G11" s="241">
        <f t="shared" si="0"/>
        <v>8.8927264044000298E-5</v>
      </c>
    </row>
    <row r="12" spans="1:8" x14ac:dyDescent="0.2">
      <c r="A12" s="171">
        <v>9</v>
      </c>
      <c r="B12" s="198">
        <v>8.6830519841582168E-5</v>
      </c>
      <c r="C12" s="172">
        <v>8.6549320220947266</v>
      </c>
      <c r="E12" s="197">
        <v>2.877695E-3</v>
      </c>
      <c r="F12" s="240">
        <v>8.7081112724263221E-5</v>
      </c>
      <c r="G12" s="241">
        <f t="shared" si="0"/>
        <v>8.6830519841582168E-5</v>
      </c>
    </row>
    <row r="13" spans="1:8" x14ac:dyDescent="0.2">
      <c r="A13" s="171">
        <v>10</v>
      </c>
      <c r="B13" s="198">
        <v>8.8949918409228271E-5</v>
      </c>
      <c r="C13" s="172">
        <v>8.8857717514038086</v>
      </c>
      <c r="E13" s="197">
        <v>5.16228E-3</v>
      </c>
      <c r="F13" s="240">
        <v>8.9411485532764345E-5</v>
      </c>
      <c r="G13" s="241">
        <f t="shared" si="0"/>
        <v>8.8949918409228271E-5</v>
      </c>
    </row>
    <row r="14" spans="1:8" x14ac:dyDescent="0.2">
      <c r="A14" s="171">
        <v>11</v>
      </c>
      <c r="B14" s="198">
        <v>9.7986181322194177E-5</v>
      </c>
      <c r="C14" s="172">
        <v>9.7875871658325195</v>
      </c>
      <c r="E14" s="197">
        <v>5.16228E-3</v>
      </c>
      <c r="F14" s="240">
        <v>9.8494638223201036E-5</v>
      </c>
      <c r="G14" s="241">
        <f t="shared" si="0"/>
        <v>9.7986181322194177E-5</v>
      </c>
    </row>
    <row r="15" spans="1:8" x14ac:dyDescent="0.2">
      <c r="A15" s="171">
        <v>12</v>
      </c>
      <c r="B15" s="198">
        <v>1.1648339114342439E-4</v>
      </c>
      <c r="C15" s="172">
        <v>11.634078979492188</v>
      </c>
      <c r="E15" s="197">
        <v>5.16228E-3</v>
      </c>
      <c r="F15" s="240">
        <v>1.1708783131325617E-4</v>
      </c>
      <c r="G15" s="241">
        <f t="shared" si="0"/>
        <v>1.1648339114342439E-4</v>
      </c>
    </row>
    <row r="16" spans="1:8" x14ac:dyDescent="0.2">
      <c r="A16" s="171">
        <v>13</v>
      </c>
      <c r="B16" s="198">
        <v>1.4598677192876117E-4</v>
      </c>
      <c r="C16" s="172">
        <v>14.579098701477051</v>
      </c>
      <c r="E16" s="197">
        <v>5.16228E-3</v>
      </c>
      <c r="F16" s="240">
        <v>1.4674430713057518E-4</v>
      </c>
      <c r="G16" s="241">
        <f t="shared" si="0"/>
        <v>1.4598677192876117E-4</v>
      </c>
    </row>
    <row r="17" spans="1:7" x14ac:dyDescent="0.2">
      <c r="A17" s="171">
        <v>14</v>
      </c>
      <c r="B17" s="198">
        <v>1.8442740883175285E-4</v>
      </c>
      <c r="C17" s="172">
        <v>18.415304183959961</v>
      </c>
      <c r="E17" s="197">
        <v>5.16228E-3</v>
      </c>
      <c r="F17" s="240">
        <v>1.8538441509008408E-4</v>
      </c>
      <c r="G17" s="241">
        <f t="shared" si="0"/>
        <v>1.8442740883175285E-4</v>
      </c>
    </row>
    <row r="18" spans="1:7" x14ac:dyDescent="0.2">
      <c r="A18" s="171">
        <v>15</v>
      </c>
      <c r="B18" s="198">
        <v>2.2891669923297994E-4</v>
      </c>
      <c r="C18" s="172">
        <v>22.809656143188477</v>
      </c>
      <c r="E18" s="197">
        <v>3.2554089999999999E-3</v>
      </c>
      <c r="F18" s="240">
        <v>2.296643506269902E-4</v>
      </c>
      <c r="G18" s="241">
        <f t="shared" si="0"/>
        <v>2.2891669923297994E-4</v>
      </c>
    </row>
    <row r="19" spans="1:7" x14ac:dyDescent="0.2">
      <c r="A19" s="171">
        <v>16</v>
      </c>
      <c r="B19" s="198">
        <v>2.7527414628875704E-4</v>
      </c>
      <c r="C19" s="172">
        <v>27.422492980957031</v>
      </c>
      <c r="E19" s="197">
        <v>3.2554089999999999E-3</v>
      </c>
      <c r="F19" s="240">
        <v>2.7617320301942527E-4</v>
      </c>
      <c r="G19" s="241">
        <f t="shared" si="0"/>
        <v>2.7527414628875704E-4</v>
      </c>
    </row>
    <row r="20" spans="1:7" x14ac:dyDescent="0.2">
      <c r="A20" s="171">
        <v>17</v>
      </c>
      <c r="B20" s="198">
        <v>3.2282517217093425E-4</v>
      </c>
      <c r="C20" s="172">
        <v>32.150588989257812</v>
      </c>
      <c r="E20" s="197">
        <v>3.2554089999999999E-3</v>
      </c>
      <c r="F20" s="240">
        <v>3.2387953251600266E-4</v>
      </c>
      <c r="G20" s="241">
        <f t="shared" si="0"/>
        <v>3.2282517217093425E-4</v>
      </c>
    </row>
    <row r="21" spans="1:7" x14ac:dyDescent="0.2">
      <c r="A21" s="171">
        <v>18</v>
      </c>
      <c r="B21" s="198">
        <v>3.6984240186925955E-4</v>
      </c>
      <c r="C21" s="172">
        <v>36.821170806884766</v>
      </c>
      <c r="E21" s="197">
        <v>3.2554089999999999E-3</v>
      </c>
      <c r="F21" s="240">
        <v>3.7105032242834568E-4</v>
      </c>
      <c r="G21" s="241">
        <f t="shared" si="0"/>
        <v>3.6984240186925955E-4</v>
      </c>
    </row>
    <row r="22" spans="1:7" x14ac:dyDescent="0.2">
      <c r="A22" s="171">
        <v>19</v>
      </c>
      <c r="B22" s="198">
        <v>4.1668920318977217E-4</v>
      </c>
      <c r="C22" s="172">
        <v>41.469802856445312</v>
      </c>
      <c r="E22" s="197">
        <v>3.2554089999999999E-3</v>
      </c>
      <c r="F22" s="240">
        <v>4.1805012733675539E-4</v>
      </c>
      <c r="G22" s="241">
        <f t="shared" si="0"/>
        <v>4.1668920318977217E-4</v>
      </c>
    </row>
    <row r="23" spans="1:7" x14ac:dyDescent="0.2">
      <c r="A23" s="171">
        <v>20</v>
      </c>
      <c r="B23" s="198">
        <v>4.6562399936796628E-4</v>
      </c>
      <c r="C23" s="172">
        <v>46.359569549560547</v>
      </c>
      <c r="E23" s="197">
        <v>4.0948800000000004E-3</v>
      </c>
      <c r="F23" s="240">
        <v>4.6753851347602904E-4</v>
      </c>
      <c r="G23" s="241">
        <f t="shared" si="0"/>
        <v>4.6562399936796628E-4</v>
      </c>
    </row>
    <row r="24" spans="1:7" x14ac:dyDescent="0.2">
      <c r="A24" s="171">
        <v>21</v>
      </c>
      <c r="B24" s="198">
        <v>5.1729207215138711E-4</v>
      </c>
      <c r="C24" s="172">
        <v>51.479789733886719</v>
      </c>
      <c r="E24" s="197">
        <v>4.0948800000000004E-3</v>
      </c>
      <c r="F24" s="240">
        <v>5.19419030752033E-4</v>
      </c>
      <c r="G24" s="241">
        <f t="shared" si="0"/>
        <v>5.1729207215138711E-4</v>
      </c>
    </row>
    <row r="25" spans="1:7" x14ac:dyDescent="0.2">
      <c r="A25" s="171">
        <v>22</v>
      </c>
      <c r="B25" s="198">
        <v>5.6759772128465579E-4</v>
      </c>
      <c r="C25" s="172">
        <v>56.456760406494141</v>
      </c>
      <c r="E25" s="197">
        <v>4.0948800000000004E-3</v>
      </c>
      <c r="F25" s="240">
        <v>5.6993152247741818E-4</v>
      </c>
      <c r="G25" s="241">
        <f t="shared" si="0"/>
        <v>5.6759772128465579E-4</v>
      </c>
    </row>
    <row r="26" spans="1:7" x14ac:dyDescent="0.2">
      <c r="A26" s="171">
        <v>23</v>
      </c>
      <c r="B26" s="198">
        <v>6.1473273914273822E-4</v>
      </c>
      <c r="C26" s="172">
        <v>61.110256195068359</v>
      </c>
      <c r="E26" s="197">
        <v>4.0948800000000004E-3</v>
      </c>
      <c r="F26" s="240">
        <v>6.1726034618914127E-4</v>
      </c>
      <c r="G26" s="241">
        <f t="shared" si="0"/>
        <v>6.1473273914273822E-4</v>
      </c>
    </row>
    <row r="27" spans="1:7" x14ac:dyDescent="0.2">
      <c r="A27" s="171">
        <v>24</v>
      </c>
      <c r="B27" s="198">
        <v>6.5926707995723934E-4</v>
      </c>
      <c r="C27" s="172">
        <v>65.496940612792969</v>
      </c>
      <c r="E27" s="197">
        <v>4.0948800000000004E-3</v>
      </c>
      <c r="F27" s="240">
        <v>6.6197779960930347E-4</v>
      </c>
      <c r="G27" s="241">
        <f t="shared" si="0"/>
        <v>6.5926707995723934E-4</v>
      </c>
    </row>
    <row r="28" spans="1:7" x14ac:dyDescent="0.2">
      <c r="A28" s="171">
        <v>25</v>
      </c>
      <c r="B28" s="198">
        <v>7.0166783559978663E-4</v>
      </c>
      <c r="C28" s="172">
        <v>69.730278015136719</v>
      </c>
      <c r="E28" s="197">
        <v>5.0526160000000002E-3</v>
      </c>
      <c r="F28" s="240">
        <v>7.0523109752684832E-4</v>
      </c>
      <c r="G28" s="241">
        <f t="shared" si="0"/>
        <v>7.0166783559978663E-4</v>
      </c>
    </row>
    <row r="29" spans="1:7" x14ac:dyDescent="0.2">
      <c r="A29" s="171">
        <v>26</v>
      </c>
      <c r="B29" s="198">
        <v>7.4605313543036212E-4</v>
      </c>
      <c r="C29" s="172">
        <v>74.088912963867188</v>
      </c>
      <c r="E29" s="197">
        <v>5.0526160000000002E-3</v>
      </c>
      <c r="F29" s="240">
        <v>7.4984179809689522E-4</v>
      </c>
      <c r="G29" s="241">
        <f t="shared" si="0"/>
        <v>7.4605313543036212E-4</v>
      </c>
    </row>
    <row r="30" spans="1:7" x14ac:dyDescent="0.2">
      <c r="A30" s="171">
        <v>27</v>
      </c>
      <c r="B30" s="198">
        <v>7.9421086664282115E-4</v>
      </c>
      <c r="C30" s="172">
        <v>78.812217712402344</v>
      </c>
      <c r="E30" s="197">
        <v>5.0526160000000002E-3</v>
      </c>
      <c r="F30" s="240">
        <v>7.9824408749118447E-4</v>
      </c>
      <c r="G30" s="241">
        <f t="shared" si="0"/>
        <v>7.9421086664282115E-4</v>
      </c>
    </row>
    <row r="31" spans="1:7" x14ac:dyDescent="0.2">
      <c r="A31" s="171">
        <v>28</v>
      </c>
      <c r="B31" s="198">
        <v>8.4864324250856276E-4</v>
      </c>
      <c r="C31" s="172">
        <v>84.146499633789062</v>
      </c>
      <c r="E31" s="197">
        <v>5.0526160000000002E-3</v>
      </c>
      <c r="F31" s="240">
        <v>8.5295288590714335E-4</v>
      </c>
      <c r="G31" s="241">
        <f t="shared" si="0"/>
        <v>8.4864324250856276E-4</v>
      </c>
    </row>
    <row r="32" spans="1:7" x14ac:dyDescent="0.2">
      <c r="A32" s="171">
        <v>29</v>
      </c>
      <c r="B32" s="198">
        <v>9.0894979076050085E-4</v>
      </c>
      <c r="C32" s="172">
        <v>90.049270629882812</v>
      </c>
      <c r="E32" s="197">
        <v>5.0526160000000002E-3</v>
      </c>
      <c r="F32" s="240">
        <v>9.1356568736955523E-4</v>
      </c>
      <c r="G32" s="241">
        <f t="shared" si="0"/>
        <v>9.0894979076050085E-4</v>
      </c>
    </row>
    <row r="33" spans="1:7" x14ac:dyDescent="0.2">
      <c r="A33" s="171">
        <v>30</v>
      </c>
      <c r="B33" s="198">
        <v>9.7117885771918295E-4</v>
      </c>
      <c r="C33" s="172">
        <v>96.328117370605469</v>
      </c>
      <c r="E33" s="197">
        <v>7.1362559999999997E-3</v>
      </c>
      <c r="F33" s="240">
        <v>9.7815925255417824E-4</v>
      </c>
      <c r="G33" s="241">
        <f t="shared" si="0"/>
        <v>9.7117885771918295E-4</v>
      </c>
    </row>
    <row r="34" spans="1:7" x14ac:dyDescent="0.2">
      <c r="A34" s="171">
        <v>31</v>
      </c>
      <c r="B34" s="198">
        <v>1.0365389168397188E-3</v>
      </c>
      <c r="C34" s="172">
        <v>102.71040344238281</v>
      </c>
      <c r="E34" s="197">
        <v>7.1362559999999997E-3</v>
      </c>
      <c r="F34" s="240">
        <v>1.0439890902489424E-3</v>
      </c>
      <c r="G34" s="241">
        <f t="shared" si="0"/>
        <v>1.0365389168397188E-3</v>
      </c>
    </row>
    <row r="35" spans="1:7" x14ac:dyDescent="0.2">
      <c r="A35" s="171">
        <v>32</v>
      </c>
      <c r="B35" s="198">
        <v>1.1026093586186171E-3</v>
      </c>
      <c r="C35" s="172">
        <v>109.14324188232422</v>
      </c>
      <c r="E35" s="197">
        <v>7.1362559999999997E-3</v>
      </c>
      <c r="F35" s="240">
        <v>1.1105344165116549E-3</v>
      </c>
      <c r="G35" s="241">
        <f t="shared" si="0"/>
        <v>1.1026093586186171E-3</v>
      </c>
    </row>
    <row r="36" spans="1:7" x14ac:dyDescent="0.2">
      <c r="A36" s="171">
        <v>33</v>
      </c>
      <c r="B36" s="198">
        <v>1.1680319489819407E-3</v>
      </c>
      <c r="C36" s="172">
        <v>115.49079132080078</v>
      </c>
      <c r="E36" s="197">
        <v>7.1362559999999997E-3</v>
      </c>
      <c r="F36" s="240">
        <v>1.1764272348955274E-3</v>
      </c>
      <c r="G36" s="241">
        <f t="shared" si="0"/>
        <v>1.1680319489819407E-3</v>
      </c>
    </row>
    <row r="37" spans="1:7" x14ac:dyDescent="0.2">
      <c r="A37" s="171">
        <v>34</v>
      </c>
      <c r="B37" s="198">
        <v>1.233831576154828E-3</v>
      </c>
      <c r="C37" s="172">
        <v>121.85329437255859</v>
      </c>
      <c r="E37" s="197">
        <v>7.1362559999999997E-3</v>
      </c>
      <c r="F37" s="240">
        <v>1.2426998000591993E-3</v>
      </c>
      <c r="G37" s="241">
        <f t="shared" si="0"/>
        <v>1.233831576154828E-3</v>
      </c>
    </row>
    <row r="38" spans="1:7" x14ac:dyDescent="0.2">
      <c r="A38" s="171">
        <v>35</v>
      </c>
      <c r="B38" s="198">
        <v>1.300953265269762E-3</v>
      </c>
      <c r="C38" s="172">
        <v>128.79521179199219</v>
      </c>
      <c r="E38" s="197" t="s">
        <v>263</v>
      </c>
      <c r="F38" s="240">
        <v>1.3151299208402634E-3</v>
      </c>
      <c r="G38" s="241">
        <f t="shared" si="0"/>
        <v>1.300953265269762E-3</v>
      </c>
    </row>
    <row r="39" spans="1:7" x14ac:dyDescent="0.2">
      <c r="A39" s="171">
        <v>36</v>
      </c>
      <c r="B39" s="198">
        <v>1.3781570304636367E-3</v>
      </c>
      <c r="C39" s="172">
        <v>136.25898742675781</v>
      </c>
      <c r="E39" s="197" t="s">
        <v>263</v>
      </c>
      <c r="F39" s="240">
        <v>1.3931749854236841E-3</v>
      </c>
      <c r="G39" s="241">
        <f t="shared" si="0"/>
        <v>1.3781570304636367E-3</v>
      </c>
    </row>
    <row r="40" spans="1:7" x14ac:dyDescent="0.2">
      <c r="A40" s="171">
        <v>37</v>
      </c>
      <c r="B40" s="198">
        <v>1.4552204151249781E-3</v>
      </c>
      <c r="C40" s="172">
        <v>143.67784118652344</v>
      </c>
      <c r="E40" s="197" t="s">
        <v>263</v>
      </c>
      <c r="F40" s="240">
        <v>1.4710781397297978E-3</v>
      </c>
      <c r="G40" s="241">
        <f t="shared" si="0"/>
        <v>1.4552204151249781E-3</v>
      </c>
    </row>
    <row r="41" spans="1:7" x14ac:dyDescent="0.2">
      <c r="A41" s="171">
        <v>38</v>
      </c>
      <c r="B41" s="198">
        <v>1.531455681320818E-3</v>
      </c>
      <c r="C41" s="172">
        <v>150.98231506347656</v>
      </c>
      <c r="E41" s="197" t="s">
        <v>263</v>
      </c>
      <c r="F41" s="240">
        <v>1.5481441514566541E-3</v>
      </c>
      <c r="G41" s="241">
        <f t="shared" si="0"/>
        <v>1.531455681320818E-3</v>
      </c>
    </row>
    <row r="42" spans="1:7" x14ac:dyDescent="0.2">
      <c r="A42" s="171">
        <v>39</v>
      </c>
      <c r="B42" s="198">
        <v>1.6110939374562449E-3</v>
      </c>
      <c r="C42" s="172">
        <v>158.58773803710938</v>
      </c>
      <c r="E42" s="197" t="s">
        <v>263</v>
      </c>
      <c r="F42" s="240">
        <v>1.6286502359434962E-3</v>
      </c>
      <c r="G42" s="241">
        <f t="shared" si="0"/>
        <v>1.6110939374562449E-3</v>
      </c>
    </row>
    <row r="43" spans="1:7" x14ac:dyDescent="0.2">
      <c r="A43" s="171">
        <v>40</v>
      </c>
      <c r="B43" s="198">
        <v>1.6940937369523778E-3</v>
      </c>
      <c r="C43" s="172">
        <v>167.20794677734375</v>
      </c>
      <c r="E43" s="197" t="s">
        <v>264</v>
      </c>
      <c r="F43" s="240">
        <v>1.7199784051626921E-3</v>
      </c>
      <c r="G43" s="241">
        <f t="shared" si="0"/>
        <v>1.6940937369523778E-3</v>
      </c>
    </row>
    <row r="44" spans="1:7" x14ac:dyDescent="0.2">
      <c r="A44" s="171">
        <v>41</v>
      </c>
      <c r="B44" s="198">
        <v>1.798776549943338E-3</v>
      </c>
      <c r="C44" s="172">
        <v>177.23481750488281</v>
      </c>
      <c r="E44" s="197" t="s">
        <v>264</v>
      </c>
      <c r="F44" s="240">
        <v>1.8262607045471668E-3</v>
      </c>
      <c r="G44" s="241">
        <f t="shared" si="0"/>
        <v>1.798776549943338E-3</v>
      </c>
    </row>
    <row r="45" spans="1:7" x14ac:dyDescent="0.2">
      <c r="A45" s="171">
        <v>42</v>
      </c>
      <c r="B45" s="198">
        <v>1.9165525403310808E-3</v>
      </c>
      <c r="C45" s="172">
        <v>188.4945068359375</v>
      </c>
      <c r="E45" s="197" t="s">
        <v>264</v>
      </c>
      <c r="F45" s="240">
        <v>1.9458362367004156E-3</v>
      </c>
      <c r="G45" s="241">
        <f t="shared" si="0"/>
        <v>1.9165525403310808E-3</v>
      </c>
    </row>
    <row r="46" spans="1:7" x14ac:dyDescent="0.2">
      <c r="A46" s="171">
        <v>43</v>
      </c>
      <c r="B46" s="198">
        <v>2.0474870662190513E-3</v>
      </c>
      <c r="C46" s="172">
        <v>200.98019409179688</v>
      </c>
      <c r="E46" s="197" t="s">
        <v>264</v>
      </c>
      <c r="F46" s="240">
        <v>2.0787713583558798E-3</v>
      </c>
      <c r="G46" s="241">
        <f t="shared" si="0"/>
        <v>2.0474870662190513E-3</v>
      </c>
    </row>
    <row r="47" spans="1:7" x14ac:dyDescent="0.2">
      <c r="A47" s="171">
        <v>44</v>
      </c>
      <c r="B47" s="198">
        <v>2.1923029652986814E-3</v>
      </c>
      <c r="C47" s="172">
        <v>214.74790954589844</v>
      </c>
      <c r="E47" s="197" t="s">
        <v>264</v>
      </c>
      <c r="F47" s="240">
        <v>2.2257999517023563E-3</v>
      </c>
      <c r="G47" s="241">
        <f t="shared" si="0"/>
        <v>2.1923029652986814E-3</v>
      </c>
    </row>
    <row r="48" spans="1:7" x14ac:dyDescent="0.2">
      <c r="A48" s="171">
        <v>45</v>
      </c>
      <c r="B48" s="198">
        <v>2.3419078175031288E-3</v>
      </c>
      <c r="C48" s="172">
        <v>230.32264709472656</v>
      </c>
      <c r="E48" s="197">
        <v>2.1167852000000001E-2</v>
      </c>
      <c r="F48" s="240">
        <v>2.3925530258566141E-3</v>
      </c>
      <c r="G48" s="241">
        <f t="shared" si="0"/>
        <v>2.3419078175031288E-3</v>
      </c>
    </row>
    <row r="49" spans="1:7" x14ac:dyDescent="0.2">
      <c r="A49" s="171">
        <v>46</v>
      </c>
      <c r="B49" s="198">
        <v>2.5244467034609337E-3</v>
      </c>
      <c r="C49" s="172">
        <v>247.6810302734375</v>
      </c>
      <c r="E49" s="197">
        <v>2.1167852000000001E-2</v>
      </c>
      <c r="F49" s="240">
        <v>2.579039428383112E-3</v>
      </c>
      <c r="G49" s="241">
        <f t="shared" si="0"/>
        <v>2.5244467034609337E-3</v>
      </c>
    </row>
    <row r="50" spans="1:7" x14ac:dyDescent="0.2">
      <c r="A50" s="171">
        <v>47</v>
      </c>
      <c r="B50" s="198">
        <v>2.7212730011639723E-3</v>
      </c>
      <c r="C50" s="172">
        <v>266.30368041992188</v>
      </c>
      <c r="E50" s="197">
        <v>2.1167852000000001E-2</v>
      </c>
      <c r="F50" s="240">
        <v>2.7801222167909145E-3</v>
      </c>
      <c r="G50" s="241">
        <f t="shared" si="0"/>
        <v>2.7212730011639723E-3</v>
      </c>
    </row>
    <row r="51" spans="1:7" x14ac:dyDescent="0.2">
      <c r="A51" s="171">
        <v>48</v>
      </c>
      <c r="B51" s="198">
        <v>2.9323942313821743E-3</v>
      </c>
      <c r="C51" s="172">
        <v>286.16619873046875</v>
      </c>
      <c r="E51" s="197">
        <v>2.1167852000000001E-2</v>
      </c>
      <c r="F51" s="240">
        <v>2.9958090744912624E-3</v>
      </c>
      <c r="G51" s="241">
        <f t="shared" si="0"/>
        <v>2.9323942313821743E-3</v>
      </c>
    </row>
    <row r="52" spans="1:7" x14ac:dyDescent="0.2">
      <c r="A52" s="171">
        <v>49</v>
      </c>
      <c r="B52" s="198">
        <v>3.1629459404661654E-3</v>
      </c>
      <c r="C52" s="172">
        <v>307.74053955078125</v>
      </c>
      <c r="E52" s="197">
        <v>2.1167852000000001E-2</v>
      </c>
      <c r="F52" s="240">
        <v>3.231346607208252E-3</v>
      </c>
      <c r="G52" s="241">
        <f t="shared" si="0"/>
        <v>3.1629459404661654E-3</v>
      </c>
    </row>
    <row r="53" spans="1:7" x14ac:dyDescent="0.2">
      <c r="A53" s="171">
        <v>50</v>
      </c>
      <c r="B53" s="198">
        <v>3.397825024577359E-3</v>
      </c>
      <c r="C53" s="172">
        <v>330.760498046875</v>
      </c>
      <c r="E53" s="197">
        <v>2.4824163E-2</v>
      </c>
      <c r="F53" s="240">
        <v>3.4843203611671925E-3</v>
      </c>
      <c r="G53" s="241">
        <f t="shared" si="0"/>
        <v>3.397825024577359E-3</v>
      </c>
    </row>
    <row r="54" spans="1:7" x14ac:dyDescent="0.2">
      <c r="A54" s="171">
        <v>51</v>
      </c>
      <c r="B54" s="198">
        <v>3.6743172932127699E-3</v>
      </c>
      <c r="C54" s="172">
        <v>356.4293212890625</v>
      </c>
      <c r="E54" s="197">
        <v>2.4824163E-2</v>
      </c>
      <c r="F54" s="240">
        <v>3.7678510416299105E-3</v>
      </c>
      <c r="G54" s="241">
        <f t="shared" si="0"/>
        <v>3.6743172932127699E-3</v>
      </c>
    </row>
    <row r="55" spans="1:7" x14ac:dyDescent="0.2">
      <c r="A55" s="171">
        <v>52</v>
      </c>
      <c r="B55" s="198">
        <v>3.9955653649521505E-3</v>
      </c>
      <c r="C55" s="172">
        <v>386.13177490234375</v>
      </c>
      <c r="E55" s="197">
        <v>2.4824163E-2</v>
      </c>
      <c r="F55" s="240">
        <v>4.097276832908392E-3</v>
      </c>
      <c r="G55" s="241">
        <f t="shared" si="0"/>
        <v>3.9955653649521505E-3</v>
      </c>
    </row>
    <row r="56" spans="1:7" x14ac:dyDescent="0.2">
      <c r="A56" s="171">
        <v>53</v>
      </c>
      <c r="B56" s="198">
        <v>4.3634548968373666E-3</v>
      </c>
      <c r="C56" s="172">
        <v>419.9569091796875</v>
      </c>
      <c r="E56" s="197">
        <v>2.4824163E-2</v>
      </c>
      <c r="F56" s="240">
        <v>4.4745313934981823E-3</v>
      </c>
      <c r="G56" s="241">
        <f t="shared" si="0"/>
        <v>4.3634548968373666E-3</v>
      </c>
    </row>
    <row r="57" spans="1:7" x14ac:dyDescent="0.2">
      <c r="A57" s="171">
        <v>54</v>
      </c>
      <c r="B57" s="198">
        <v>4.7640492826207656E-3</v>
      </c>
      <c r="C57" s="172">
        <v>456.46014404296875</v>
      </c>
      <c r="E57" s="197">
        <v>2.4824163E-2</v>
      </c>
      <c r="F57" s="240">
        <v>4.8853233456611633E-3</v>
      </c>
      <c r="G57" s="241">
        <f t="shared" si="0"/>
        <v>4.7640492826207656E-3</v>
      </c>
    </row>
    <row r="58" spans="1:7" x14ac:dyDescent="0.2">
      <c r="A58" s="171">
        <v>55</v>
      </c>
      <c r="B58" s="198">
        <v>5.1597823922082649E-3</v>
      </c>
      <c r="C58" s="172">
        <v>492.82015991210938</v>
      </c>
      <c r="E58" s="197" t="s">
        <v>265</v>
      </c>
      <c r="F58" s="240">
        <v>5.3003649227321148E-3</v>
      </c>
      <c r="G58" s="241">
        <f t="shared" si="0"/>
        <v>5.1597823922082649E-3</v>
      </c>
    </row>
    <row r="59" spans="1:7" x14ac:dyDescent="0.2">
      <c r="A59" s="171">
        <v>56</v>
      </c>
      <c r="B59" s="198">
        <v>5.5731580224733816E-3</v>
      </c>
      <c r="C59" s="172">
        <v>529.48101806640625</v>
      </c>
      <c r="E59" s="197" t="s">
        <v>265</v>
      </c>
      <c r="F59" s="240">
        <v>5.7250033132731915E-3</v>
      </c>
      <c r="G59" s="241">
        <f t="shared" si="0"/>
        <v>5.5731580224733816E-3</v>
      </c>
    </row>
    <row r="60" spans="1:7" x14ac:dyDescent="0.2">
      <c r="A60" s="171">
        <v>57</v>
      </c>
      <c r="B60" s="198">
        <v>6.0275083860653221E-3</v>
      </c>
      <c r="C60" s="172">
        <v>569.368408203125</v>
      </c>
      <c r="E60" s="197" t="s">
        <v>265</v>
      </c>
      <c r="F60" s="240">
        <v>6.1917328275740147E-3</v>
      </c>
      <c r="G60" s="241">
        <f t="shared" si="0"/>
        <v>6.0275083860653221E-3</v>
      </c>
    </row>
    <row r="61" spans="1:7" x14ac:dyDescent="0.2">
      <c r="A61" s="171">
        <v>58</v>
      </c>
      <c r="B61" s="198">
        <v>6.5389794952822912E-3</v>
      </c>
      <c r="C61" s="172">
        <v>613.8582763671875</v>
      </c>
      <c r="E61" s="197" t="s">
        <v>265</v>
      </c>
      <c r="F61" s="240">
        <v>6.7171393893659115E-3</v>
      </c>
      <c r="G61" s="241">
        <f t="shared" si="0"/>
        <v>6.5389794952822912E-3</v>
      </c>
    </row>
    <row r="62" spans="1:7" x14ac:dyDescent="0.2">
      <c r="A62" s="171">
        <v>59</v>
      </c>
      <c r="B62" s="198">
        <v>7.1022417789358468E-3</v>
      </c>
      <c r="C62" s="172">
        <v>662.2569580078125</v>
      </c>
      <c r="E62" s="197" t="s">
        <v>265</v>
      </c>
      <c r="F62" s="240">
        <v>7.2957482188940048E-3</v>
      </c>
      <c r="G62" s="241">
        <f t="shared" si="0"/>
        <v>7.1022417789358468E-3</v>
      </c>
    </row>
    <row r="63" spans="1:7" x14ac:dyDescent="0.2">
      <c r="A63" s="171">
        <v>60</v>
      </c>
      <c r="B63" s="198">
        <v>7.7148706103075775E-3</v>
      </c>
      <c r="C63" s="172">
        <v>714.3726806640625</v>
      </c>
      <c r="E63" s="197">
        <v>2.6848691258033502E-2</v>
      </c>
      <c r="F63" s="240">
        <v>7.9277195036411285E-3</v>
      </c>
      <c r="G63" s="241">
        <f t="shared" si="0"/>
        <v>7.7148706103075775E-3</v>
      </c>
    </row>
    <row r="64" spans="1:7" x14ac:dyDescent="0.2">
      <c r="A64" s="171">
        <v>61</v>
      </c>
      <c r="B64" s="198">
        <v>8.3474641086663925E-3</v>
      </c>
      <c r="C64" s="172">
        <v>766.82110595703125</v>
      </c>
      <c r="E64" s="197">
        <v>2.6848691258033502E-2</v>
      </c>
      <c r="F64" s="240">
        <v>8.5777658969163895E-3</v>
      </c>
      <c r="G64" s="241">
        <f t="shared" si="0"/>
        <v>8.3474641086663925E-3</v>
      </c>
    </row>
    <row r="65" spans="1:7" x14ac:dyDescent="0.2">
      <c r="A65" s="171">
        <v>62</v>
      </c>
      <c r="B65" s="198">
        <v>8.9698162160846764E-3</v>
      </c>
      <c r="C65" s="172">
        <v>816.924072265625</v>
      </c>
      <c r="E65" s="197">
        <v>2.6848691258033502E-2</v>
      </c>
      <c r="F65" s="240">
        <v>9.2172883450984955E-3</v>
      </c>
      <c r="G65" s="241">
        <f t="shared" si="0"/>
        <v>8.9698162160846764E-3</v>
      </c>
    </row>
    <row r="66" spans="1:7" x14ac:dyDescent="0.2">
      <c r="A66" s="171">
        <v>63</v>
      </c>
      <c r="B66" s="198">
        <v>9.5702472153013085E-3</v>
      </c>
      <c r="C66" s="172">
        <v>863.57440185546875</v>
      </c>
      <c r="E66" s="197">
        <v>2.6848691258033502E-2</v>
      </c>
      <c r="F66" s="240">
        <v>9.8342848941683769E-3</v>
      </c>
      <c r="G66" s="241">
        <f t="shared" si="0"/>
        <v>9.5702472153013085E-3</v>
      </c>
    </row>
    <row r="67" spans="1:7" x14ac:dyDescent="0.2">
      <c r="A67" s="171">
        <v>64</v>
      </c>
      <c r="B67" s="198">
        <v>1.0181312947376011E-2</v>
      </c>
      <c r="C67" s="172">
        <v>909.67913818359375</v>
      </c>
      <c r="E67" s="197">
        <v>2.6848691258033502E-2</v>
      </c>
      <c r="F67" s="240">
        <v>1.0462209582328796E-2</v>
      </c>
      <c r="G67" s="241">
        <f t="shared" si="0"/>
        <v>1.0181312947376011E-2</v>
      </c>
    </row>
    <row r="68" spans="1:7" x14ac:dyDescent="0.2">
      <c r="A68" s="171">
        <v>65</v>
      </c>
      <c r="B68" s="198">
        <v>1.0845664305989213E-2</v>
      </c>
      <c r="C68" s="172">
        <v>957.50811767578125</v>
      </c>
      <c r="E68" s="197">
        <v>2.5434775999999999E-2</v>
      </c>
      <c r="F68" s="240">
        <v>1.1128720827400684E-2</v>
      </c>
      <c r="G68" s="241">
        <f t="shared" ref="G68:G103" si="1">F68*(1-E68)</f>
        <v>1.0845664305989213E-2</v>
      </c>
    </row>
    <row r="69" spans="1:7" x14ac:dyDescent="0.2">
      <c r="A69" s="171">
        <v>66</v>
      </c>
      <c r="B69" s="198">
        <v>1.1628779602012381E-2</v>
      </c>
      <c r="C69" s="172">
        <v>1015.2200927734375</v>
      </c>
      <c r="E69" s="197">
        <v>2.5434775999999999E-2</v>
      </c>
      <c r="F69" s="240">
        <v>1.1932274326682091E-2</v>
      </c>
      <c r="G69" s="241">
        <f t="shared" si="1"/>
        <v>1.1628779602012381E-2</v>
      </c>
    </row>
    <row r="70" spans="1:7" x14ac:dyDescent="0.2">
      <c r="A70" s="171">
        <v>67</v>
      </c>
      <c r="B70" s="198">
        <v>1.2543251406951957E-2</v>
      </c>
      <c r="C70" s="172">
        <v>1081.9891357421875</v>
      </c>
      <c r="E70" s="197">
        <v>2.5434775999999999E-2</v>
      </c>
      <c r="F70" s="240">
        <v>1.2870612554252148E-2</v>
      </c>
      <c r="G70" s="241">
        <f t="shared" si="1"/>
        <v>1.2543251406951957E-2</v>
      </c>
    </row>
    <row r="71" spans="1:7" x14ac:dyDescent="0.2">
      <c r="A71" s="171">
        <v>68</v>
      </c>
      <c r="B71" s="198">
        <v>1.3643431603173278E-2</v>
      </c>
      <c r="C71" s="172">
        <v>1161.7440185546875</v>
      </c>
      <c r="E71" s="197">
        <v>2.5434775999999999E-2</v>
      </c>
      <c r="F71" s="240">
        <v>1.3999505899846554E-2</v>
      </c>
      <c r="G71" s="241">
        <f t="shared" si="1"/>
        <v>1.3643431603173278E-2</v>
      </c>
    </row>
    <row r="72" spans="1:7" x14ac:dyDescent="0.2">
      <c r="A72" s="171">
        <v>69</v>
      </c>
      <c r="B72" s="198">
        <v>1.4876504933677882E-2</v>
      </c>
      <c r="C72" s="172">
        <v>1249.007080078125</v>
      </c>
      <c r="E72" s="197">
        <v>2.5434775999999999E-2</v>
      </c>
      <c r="F72" s="240">
        <v>1.5264760702848434E-2</v>
      </c>
      <c r="G72" s="241">
        <f t="shared" si="1"/>
        <v>1.4876504933677882E-2</v>
      </c>
    </row>
    <row r="73" spans="1:7" x14ac:dyDescent="0.2">
      <c r="A73" s="171">
        <v>70</v>
      </c>
      <c r="B73" s="198">
        <v>1.6334991409209944E-2</v>
      </c>
      <c r="C73" s="172">
        <v>1345.0069580078125</v>
      </c>
      <c r="E73" s="197" t="s">
        <v>266</v>
      </c>
      <c r="F73" s="240">
        <v>1.6692837700247765E-2</v>
      </c>
      <c r="G73" s="241">
        <f t="shared" si="1"/>
        <v>1.6334991409209944E-2</v>
      </c>
    </row>
    <row r="74" spans="1:7" x14ac:dyDescent="0.2">
      <c r="A74" s="171">
        <v>71</v>
      </c>
      <c r="B74" s="198">
        <v>1.7880391605780682E-2</v>
      </c>
      <c r="C74" s="172">
        <v>1447.6776123046875</v>
      </c>
      <c r="E74" s="197" t="s">
        <v>266</v>
      </c>
      <c r="F74" s="240">
        <v>1.8272092565894127E-2</v>
      </c>
      <c r="G74" s="241">
        <f t="shared" si="1"/>
        <v>1.7880391605780682E-2</v>
      </c>
    </row>
    <row r="75" spans="1:7" x14ac:dyDescent="0.2">
      <c r="A75" s="171">
        <v>72</v>
      </c>
      <c r="B75" s="198">
        <v>1.9615840869994794E-2</v>
      </c>
      <c r="C75" s="172">
        <v>1559.16796875</v>
      </c>
      <c r="E75" s="197" t="s">
        <v>266</v>
      </c>
      <c r="F75" s="240">
        <v>2.0045559853315353E-2</v>
      </c>
      <c r="G75" s="241">
        <f t="shared" si="1"/>
        <v>1.9615840869994794E-2</v>
      </c>
    </row>
    <row r="76" spans="1:7" x14ac:dyDescent="0.2">
      <c r="A76" s="171">
        <v>73</v>
      </c>
      <c r="B76" s="198">
        <v>2.126374329035631E-2</v>
      </c>
      <c r="C76" s="172">
        <v>1656.271728515625</v>
      </c>
      <c r="E76" s="197" t="s">
        <v>266</v>
      </c>
      <c r="F76" s="240">
        <v>2.1729562431573868E-2</v>
      </c>
      <c r="G76" s="241">
        <f t="shared" si="1"/>
        <v>2.126374329035631E-2</v>
      </c>
    </row>
    <row r="77" spans="1:7" x14ac:dyDescent="0.2">
      <c r="A77" s="171">
        <v>74</v>
      </c>
      <c r="B77" s="198">
        <v>2.3993853821895582E-2</v>
      </c>
      <c r="C77" s="172">
        <v>1828.3140869140625</v>
      </c>
      <c r="E77" s="197" t="s">
        <v>266</v>
      </c>
      <c r="F77" s="240">
        <v>2.4519480764865875E-2</v>
      </c>
      <c r="G77" s="241">
        <f t="shared" si="1"/>
        <v>2.3993853821895582E-2</v>
      </c>
    </row>
    <row r="78" spans="1:7" x14ac:dyDescent="0.2">
      <c r="A78" s="171">
        <v>75</v>
      </c>
      <c r="B78" s="198">
        <v>2.6409939367288238E-2</v>
      </c>
      <c r="C78" s="172">
        <v>1953.8896484375</v>
      </c>
      <c r="E78" s="197" t="s">
        <v>267</v>
      </c>
      <c r="F78" s="240">
        <v>2.6862218976020813E-2</v>
      </c>
      <c r="G78" s="241">
        <f t="shared" si="1"/>
        <v>2.6409939367288238E-2</v>
      </c>
    </row>
    <row r="79" spans="1:7" x14ac:dyDescent="0.2">
      <c r="A79" s="171">
        <v>76</v>
      </c>
      <c r="B79" s="198">
        <v>2.9437697871004906E-2</v>
      </c>
      <c r="C79" s="172">
        <v>2119.3896484375</v>
      </c>
      <c r="E79" s="197" t="s">
        <v>267</v>
      </c>
      <c r="F79" s="240">
        <v>2.9941828921437263E-2</v>
      </c>
      <c r="G79" s="241">
        <f t="shared" si="1"/>
        <v>2.9437697871004906E-2</v>
      </c>
    </row>
    <row r="80" spans="1:7" x14ac:dyDescent="0.2">
      <c r="A80" s="171">
        <v>77</v>
      </c>
      <c r="B80" s="198">
        <v>3.248061207914571E-2</v>
      </c>
      <c r="C80" s="172">
        <v>2268.448486328125</v>
      </c>
      <c r="E80" s="197" t="s">
        <v>267</v>
      </c>
      <c r="F80" s="240">
        <v>3.3036854118108749E-2</v>
      </c>
      <c r="G80" s="241">
        <f t="shared" si="1"/>
        <v>3.248061207914571E-2</v>
      </c>
    </row>
    <row r="81" spans="1:7" x14ac:dyDescent="0.2">
      <c r="A81" s="171">
        <v>78</v>
      </c>
      <c r="B81" s="198">
        <v>3.646193651990777E-2</v>
      </c>
      <c r="C81" s="172">
        <v>2462.376220703125</v>
      </c>
      <c r="E81" s="197" t="s">
        <v>267</v>
      </c>
      <c r="F81" s="240">
        <v>3.7086360156536102E-2</v>
      </c>
      <c r="G81" s="241">
        <f t="shared" si="1"/>
        <v>3.646193651990777E-2</v>
      </c>
    </row>
    <row r="82" spans="1:7" x14ac:dyDescent="0.2">
      <c r="A82" s="171">
        <v>79</v>
      </c>
      <c r="B82" s="198">
        <v>4.0519471665758623E-2</v>
      </c>
      <c r="C82" s="172">
        <v>2634.909912109375</v>
      </c>
      <c r="E82" s="197" t="s">
        <v>267</v>
      </c>
      <c r="F82" s="240">
        <v>4.1213382035493851E-2</v>
      </c>
      <c r="G82" s="241">
        <f t="shared" si="1"/>
        <v>4.0519471665758623E-2</v>
      </c>
    </row>
    <row r="83" spans="1:7" x14ac:dyDescent="0.2">
      <c r="A83" s="171">
        <v>80</v>
      </c>
      <c r="B83" s="198">
        <v>4.5391733825671514E-2</v>
      </c>
      <c r="C83" s="172">
        <v>2816.36572265625</v>
      </c>
      <c r="E83" s="197" t="s">
        <v>268</v>
      </c>
      <c r="F83" s="240">
        <v>4.5945137739181519E-2</v>
      </c>
      <c r="G83" s="241">
        <f t="shared" si="1"/>
        <v>4.5391733825671514E-2</v>
      </c>
    </row>
    <row r="84" spans="1:7" x14ac:dyDescent="0.2">
      <c r="A84" s="171">
        <v>81</v>
      </c>
      <c r="B84" s="198">
        <v>5.0488677007500954E-2</v>
      </c>
      <c r="C84" s="172">
        <v>2988.68115234375</v>
      </c>
      <c r="E84" s="197" t="s">
        <v>268</v>
      </c>
      <c r="F84" s="240">
        <v>5.1104221493005753E-2</v>
      </c>
      <c r="G84" s="241">
        <f t="shared" si="1"/>
        <v>5.0488677007500954E-2</v>
      </c>
    </row>
    <row r="85" spans="1:7" x14ac:dyDescent="0.2">
      <c r="A85" s="171">
        <v>82</v>
      </c>
      <c r="B85" s="198">
        <v>5.6423151196131588E-2</v>
      </c>
      <c r="C85" s="172">
        <v>3169.286376953125</v>
      </c>
      <c r="E85" s="197" t="s">
        <v>268</v>
      </c>
      <c r="F85" s="240">
        <v>5.7111047208309174E-2</v>
      </c>
      <c r="G85" s="241">
        <f t="shared" si="1"/>
        <v>5.6423151196131588E-2</v>
      </c>
    </row>
    <row r="86" spans="1:7" x14ac:dyDescent="0.2">
      <c r="A86" s="171">
        <v>83</v>
      </c>
      <c r="B86" s="198">
        <v>6.3390178145968271E-2</v>
      </c>
      <c r="C86" s="172">
        <v>3357.273193359375</v>
      </c>
      <c r="E86" s="197" t="s">
        <v>268</v>
      </c>
      <c r="F86" s="240">
        <v>6.416301429271698E-2</v>
      </c>
      <c r="G86" s="241">
        <f t="shared" si="1"/>
        <v>6.3390178145968271E-2</v>
      </c>
    </row>
    <row r="87" spans="1:7" x14ac:dyDescent="0.2">
      <c r="A87" s="171">
        <v>84</v>
      </c>
      <c r="B87" s="198">
        <v>7.1481286212146861E-2</v>
      </c>
      <c r="C87" s="172">
        <v>3542.88671875</v>
      </c>
      <c r="E87" s="197" t="s">
        <v>268</v>
      </c>
      <c r="F87" s="240">
        <v>7.2352766990661621E-2</v>
      </c>
      <c r="G87" s="241">
        <f t="shared" si="1"/>
        <v>7.1481286212146861E-2</v>
      </c>
    </row>
    <row r="88" spans="1:7" x14ac:dyDescent="0.2">
      <c r="A88" s="171">
        <v>85</v>
      </c>
      <c r="B88" s="198">
        <v>8.0802543802559912E-2</v>
      </c>
      <c r="C88" s="172">
        <v>3699.825927734375</v>
      </c>
      <c r="E88" s="197">
        <v>7.9611079999999997E-3</v>
      </c>
      <c r="F88" s="240">
        <v>8.1450983881950378E-2</v>
      </c>
      <c r="G88" s="241">
        <f t="shared" si="1"/>
        <v>8.0802543802559912E-2</v>
      </c>
    </row>
    <row r="89" spans="1:7" x14ac:dyDescent="0.2">
      <c r="A89" s="171">
        <v>86</v>
      </c>
      <c r="B89" s="198">
        <v>8.9312544110821929E-2</v>
      </c>
      <c r="C89" s="172">
        <v>3756.3935546875</v>
      </c>
      <c r="E89" s="197">
        <v>7.9611079999999997E-3</v>
      </c>
      <c r="F89" s="240">
        <v>9.0029276907444E-2</v>
      </c>
      <c r="G89" s="241">
        <f t="shared" si="1"/>
        <v>8.9312544110821929E-2</v>
      </c>
    </row>
    <row r="90" spans="1:7" x14ac:dyDescent="0.2">
      <c r="A90" s="171">
        <v>87</v>
      </c>
      <c r="B90" s="198">
        <v>0.10108503432541745</v>
      </c>
      <c r="C90" s="172">
        <v>3868.769775390625</v>
      </c>
      <c r="E90" s="197">
        <v>7.9611079999999997E-3</v>
      </c>
      <c r="F90" s="240">
        <v>0.10189624130725861</v>
      </c>
      <c r="G90" s="241">
        <f t="shared" si="1"/>
        <v>0.10108503432541745</v>
      </c>
    </row>
    <row r="91" spans="1:7" x14ac:dyDescent="0.2">
      <c r="A91" s="171">
        <v>88</v>
      </c>
      <c r="B91" s="198">
        <v>0.11409976717832934</v>
      </c>
      <c r="C91" s="172">
        <v>3921.9072265625</v>
      </c>
      <c r="E91" s="197">
        <v>7.9611079999999997E-3</v>
      </c>
      <c r="F91" s="240">
        <v>0.1150154173374176</v>
      </c>
      <c r="G91" s="241">
        <f t="shared" si="1"/>
        <v>0.11409976717832934</v>
      </c>
    </row>
    <row r="92" spans="1:7" x14ac:dyDescent="0.2">
      <c r="A92" s="171">
        <v>89</v>
      </c>
      <c r="B92" s="198">
        <v>0.12840612371583376</v>
      </c>
      <c r="C92" s="172">
        <v>3906.015869140625</v>
      </c>
      <c r="E92" s="197">
        <v>7.9611079999999997E-3</v>
      </c>
      <c r="F92" s="240">
        <v>0.12943658232688904</v>
      </c>
      <c r="G92" s="241">
        <f t="shared" si="1"/>
        <v>0.12840612371583376</v>
      </c>
    </row>
    <row r="93" spans="1:7" x14ac:dyDescent="0.2">
      <c r="A93" s="171">
        <v>90</v>
      </c>
      <c r="B93" s="198">
        <v>0.14452973076071529</v>
      </c>
      <c r="C93" s="172">
        <v>3814.294189453125</v>
      </c>
      <c r="E93" s="197">
        <v>4.5478300000000001E-3</v>
      </c>
      <c r="F93" s="240">
        <v>0.14519003033638</v>
      </c>
      <c r="G93" s="241">
        <f t="shared" si="1"/>
        <v>0.14452973076071529</v>
      </c>
    </row>
    <row r="94" spans="1:7" x14ac:dyDescent="0.2">
      <c r="A94" s="171">
        <v>91</v>
      </c>
      <c r="B94" s="198">
        <v>0.16154360314701677</v>
      </c>
      <c r="C94" s="172">
        <v>3644.318359375</v>
      </c>
      <c r="E94" s="197">
        <v>4.5478300000000001E-3</v>
      </c>
      <c r="F94" s="240">
        <v>0.16228163242340088</v>
      </c>
      <c r="G94" s="241">
        <f t="shared" si="1"/>
        <v>0.16154360314701677</v>
      </c>
    </row>
    <row r="95" spans="1:7" x14ac:dyDescent="0.2">
      <c r="A95" s="171">
        <v>92</v>
      </c>
      <c r="B95" s="198">
        <v>0.17986634448655306</v>
      </c>
      <c r="C95" s="172">
        <v>3399.1826171875</v>
      </c>
      <c r="E95" s="197">
        <v>4.5478300000000001E-3</v>
      </c>
      <c r="F95" s="240">
        <v>0.18068808317184448</v>
      </c>
      <c r="G95" s="241">
        <f t="shared" si="1"/>
        <v>0.17986634448655306</v>
      </c>
    </row>
    <row r="96" spans="1:7" x14ac:dyDescent="0.2">
      <c r="A96" s="171">
        <v>93</v>
      </c>
      <c r="B96" s="198">
        <v>0.19944181038588837</v>
      </c>
      <c r="C96" s="172">
        <v>3088.0908203125</v>
      </c>
      <c r="E96" s="197">
        <v>4.5478300000000001E-3</v>
      </c>
      <c r="F96" s="240">
        <v>0.2003529816865921</v>
      </c>
      <c r="G96" s="241">
        <f t="shared" si="1"/>
        <v>0.19944181038588837</v>
      </c>
    </row>
    <row r="97" spans="1:7" x14ac:dyDescent="0.2">
      <c r="A97" s="171">
        <v>94</v>
      </c>
      <c r="B97" s="198">
        <v>0.22017807830707758</v>
      </c>
      <c r="C97" s="172">
        <v>2726.1279296875</v>
      </c>
      <c r="E97" s="197">
        <v>4.5478300000000001E-3</v>
      </c>
      <c r="F97" s="240">
        <v>0.22118398547172546</v>
      </c>
      <c r="G97" s="241">
        <f t="shared" si="1"/>
        <v>0.22017807830707758</v>
      </c>
    </row>
    <row r="98" spans="1:7" x14ac:dyDescent="0.2">
      <c r="A98" s="171">
        <v>95</v>
      </c>
      <c r="B98" s="198">
        <v>0.24247923127569646</v>
      </c>
      <c r="C98" s="172">
        <v>2333.063720703125</v>
      </c>
      <c r="E98" s="197">
        <v>2.3564699999999998E-3</v>
      </c>
      <c r="F98" s="240">
        <v>0.24305197596549988</v>
      </c>
      <c r="G98" s="241">
        <f t="shared" si="1"/>
        <v>0.24247923127569646</v>
      </c>
    </row>
    <row r="99" spans="1:7" x14ac:dyDescent="0.2">
      <c r="A99" s="171">
        <v>96</v>
      </c>
      <c r="B99" s="198">
        <v>0.26516568131163715</v>
      </c>
      <c r="C99" s="172">
        <v>1931.2364501953125</v>
      </c>
      <c r="E99" s="197">
        <v>2.3564699999999998E-3</v>
      </c>
      <c r="F99" s="240">
        <v>0.26579201221466064</v>
      </c>
      <c r="G99" s="241">
        <f t="shared" si="1"/>
        <v>0.26516568131163715</v>
      </c>
    </row>
    <row r="100" spans="1:7" x14ac:dyDescent="0.2">
      <c r="A100" s="171">
        <v>97</v>
      </c>
      <c r="B100" s="198">
        <v>0.28852562274333626</v>
      </c>
      <c r="C100" s="172">
        <v>1542.8426513671875</v>
      </c>
      <c r="E100" s="197">
        <v>2.3564699999999998E-3</v>
      </c>
      <c r="F100" s="240">
        <v>0.28920713067054749</v>
      </c>
      <c r="G100" s="241">
        <f t="shared" si="1"/>
        <v>0.28852562274333626</v>
      </c>
    </row>
    <row r="101" spans="1:7" x14ac:dyDescent="0.2">
      <c r="A101" s="171">
        <v>98</v>
      </c>
      <c r="B101" s="198">
        <v>0.31233627298963457</v>
      </c>
      <c r="C101" s="172">
        <v>1187.14208984375</v>
      </c>
      <c r="E101" s="197">
        <v>2.3564699999999998E-3</v>
      </c>
      <c r="F101" s="240">
        <v>0.3130740225315094</v>
      </c>
      <c r="G101" s="241">
        <f t="shared" si="1"/>
        <v>0.31233627298963457</v>
      </c>
    </row>
    <row r="102" spans="1:7" x14ac:dyDescent="0.2">
      <c r="A102" s="171">
        <v>99</v>
      </c>
      <c r="B102" s="198">
        <v>0.33635677235615458</v>
      </c>
      <c r="C102" s="172">
        <v>878.19390869140625</v>
      </c>
      <c r="E102" s="197">
        <v>2.3564699999999998E-3</v>
      </c>
      <c r="F102" s="240">
        <v>0.33715125918388367</v>
      </c>
      <c r="G102" s="241">
        <f t="shared" si="1"/>
        <v>0.33635677235615458</v>
      </c>
    </row>
    <row r="103" spans="1:7" x14ac:dyDescent="0.2">
      <c r="A103" s="173">
        <v>100</v>
      </c>
      <c r="B103" s="201">
        <v>0.99764352999999995</v>
      </c>
      <c r="C103" s="174">
        <v>1726.5537109375</v>
      </c>
      <c r="E103" s="197">
        <v>2.3564699999999998E-3</v>
      </c>
      <c r="F103" s="240">
        <v>1</v>
      </c>
      <c r="G103" s="241">
        <f t="shared" si="1"/>
        <v>0.99764352999999995</v>
      </c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A270-617B-C142-BE35-4980EF3F6FB1}">
  <dimension ref="A1:Y113"/>
  <sheetViews>
    <sheetView zoomScaleNormal="100" workbookViewId="0">
      <selection activeCell="U5" sqref="U5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20" width="9.33203125" style="1" bestFit="1" customWidth="1"/>
    <col min="21" max="21" width="22.83203125" style="1" bestFit="1" customWidth="1"/>
    <col min="22" max="22" width="6.5" style="1" bestFit="1" customWidth="1"/>
    <col min="23" max="23" width="21.33203125" style="1" bestFit="1" customWidth="1"/>
    <col min="24" max="24" width="13.5" style="1" bestFit="1" customWidth="1"/>
    <col min="25" max="25" width="15" style="1" bestFit="1" customWidth="1"/>
    <col min="26" max="16384" width="8.83203125" style="1"/>
  </cols>
  <sheetData>
    <row r="1" spans="1:25" x14ac:dyDescent="0.2">
      <c r="A1" s="1" t="s">
        <v>254</v>
      </c>
      <c r="C1" s="216" t="s">
        <v>7</v>
      </c>
      <c r="D1" s="217"/>
      <c r="E1" s="218"/>
      <c r="F1" s="219" t="s">
        <v>8</v>
      </c>
      <c r="G1" s="220"/>
      <c r="H1" s="221"/>
      <c r="I1" s="222" t="s">
        <v>9</v>
      </c>
      <c r="J1" s="223"/>
      <c r="K1" s="224"/>
      <c r="L1" s="225" t="s">
        <v>10</v>
      </c>
      <c r="M1" s="226"/>
      <c r="N1" s="227"/>
      <c r="O1" s="228" t="s">
        <v>11</v>
      </c>
      <c r="P1" s="229"/>
      <c r="Q1" s="230"/>
      <c r="R1" s="213" t="s">
        <v>255</v>
      </c>
      <c r="S1" s="214"/>
      <c r="T1" s="215"/>
      <c r="U1" s="165" t="s">
        <v>256</v>
      </c>
    </row>
    <row r="2" spans="1:25" x14ac:dyDescent="0.2">
      <c r="A2" s="2" t="s">
        <v>3</v>
      </c>
      <c r="B2" s="4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5"/>
      <c r="V2" s="2" t="s">
        <v>13</v>
      </c>
      <c r="W2" s="2" t="s">
        <v>137</v>
      </c>
      <c r="X2" s="2" t="s">
        <v>14</v>
      </c>
      <c r="Y2" s="2" t="s">
        <v>15</v>
      </c>
    </row>
    <row r="3" spans="1:25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C3*uHealthy*W3/(1+discount_rate)^A3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175">
        <v>0</v>
      </c>
      <c r="V3" s="48">
        <f>SUM(C3,F3,I3,L3,O3,R3)-B3</f>
        <v>0</v>
      </c>
      <c r="W3" s="55">
        <v>0.33333333333333331</v>
      </c>
      <c r="X3" s="12">
        <f>SUM(D3,G3,J3,M3,P3,S3)</f>
        <v>0</v>
      </c>
      <c r="Y3" s="12">
        <f>SUM(E3,H3,K3,N3,Q3,T3)</f>
        <v>333.33333333333331</v>
      </c>
    </row>
    <row r="4" spans="1:25" x14ac:dyDescent="0.2">
      <c r="A4" s="10">
        <v>1</v>
      </c>
      <c r="B4" s="15">
        <f>SUM(C4,F4,I4,L4,O4)</f>
        <v>994.84021760779171</v>
      </c>
      <c r="C4" s="27">
        <f>(1-SUM(pHealthyStage1,pHealthyStage2,pHealthyStage3))*C3*(1-'Life Table - Female'!B58)</f>
        <v>915.25300019916835</v>
      </c>
      <c r="D4" s="19">
        <f t="shared" ref="D4:D33" si="2">C4*0*W4/(1+discount_rate)^A4</f>
        <v>0</v>
      </c>
      <c r="E4" s="20">
        <f t="shared" si="1"/>
        <v>592.39676388295686</v>
      </c>
      <c r="F4" s="27">
        <f>SUM(pHealthyStage1*C3,(1-SUM(pStage1Remission,pStage1Stage2))*F3,pStage2Stage1*I3,pRemissionStage1*O3)*(1-'Life Table - Female'!B58)</f>
        <v>49.742010880389586</v>
      </c>
      <c r="G4" s="19">
        <f t="shared" ref="G4:G33" si="3">F4*SUM(nVisitsStage1*cVisit,cTreatmentStage1)*W4/(1+discount_rate)^A4</f>
        <v>51512.762076778854</v>
      </c>
      <c r="H4" s="20">
        <f t="shared" ref="H4:H33" si="4">F4*uStage1*W4/(1+discount_rate)^A4</f>
        <v>28.332019142228372</v>
      </c>
      <c r="I4" s="27">
        <f>SUM(pHealthyStage2*C3,pStage1Stage2*F3,(1-SUM(pStage2Remission, pStage2Stage1, pStage2Stage3))*I3,pStage3Stage2*L3,pRemissionStage2*O3)*(1-'Life Table - Female'!B58)</f>
        <v>19.896804352155833</v>
      </c>
      <c r="J4" s="19">
        <f t="shared" ref="J4:J33" si="5">I4*SUM(nVisitsStage2*cVisit,cTreatmentStage2)*W4/(1+discount_rate)^A4</f>
        <v>92722.97173820193</v>
      </c>
      <c r="K4" s="20">
        <f t="shared" ref="K4:K33" si="6">I4*uStage2*W4/(1+discount_rate)^A4</f>
        <v>9.1435152686282457</v>
      </c>
      <c r="L4" s="27">
        <f>SUM(pHealthyStage3*C3,pStage2Stage3*I3,(1-SUM(pStage3Death, pStage3Stage2))*L3)*(1-'Life Table - Female'!B58)</f>
        <v>9.9484021760779164</v>
      </c>
      <c r="M4" s="19">
        <f t="shared" ref="M4:M33" si="7">L4*SUM(nVisitsStage3*cVisit,cTreatmentStage3)*W4/(1+discount_rate)^A4</f>
        <v>149387.01002265865</v>
      </c>
      <c r="N4" s="20">
        <f t="shared" ref="N4:N33" si="8">L4*uStage3*W4/(1+discount_rate)^A4</f>
        <v>2.3180742934550485</v>
      </c>
      <c r="O4" s="27">
        <f>SUM(pStage1Remission*F3,pStage2Remission*I3,(1-SUM(pRemissionStage1, pRemissionStage2))*O3)*(1-'Life Table - Female'!B58)</f>
        <v>0</v>
      </c>
      <c r="P4" s="19">
        <f t="shared" ref="P4:P33" si="9">O4*SUM(nVisitsRemission*cVisit,cTreatmentRemission)*W4/(1+discount_rate)^A4</f>
        <v>0</v>
      </c>
      <c r="Q4" s="23">
        <f t="shared" ref="Q4:Q33" si="10">O4*uRemission*W4/(1+discount_rate)^A4</f>
        <v>0</v>
      </c>
      <c r="R4" s="27">
        <f>SUM(pStage3Death*L3*(1-'Life Table - Female'!B58),R3)</f>
        <v>0</v>
      </c>
      <c r="S4" s="19">
        <f t="shared" ref="S4:S33" si="11">R4*0*W4/(1+discount_rate)^A4</f>
        <v>0</v>
      </c>
      <c r="T4" s="23">
        <f t="shared" ref="T4:T33" si="12">R4*0*W4/(1+discount_rate)^A4</f>
        <v>0</v>
      </c>
      <c r="U4" s="199">
        <f>SUM(B3*'Life Table - Female'!B58,U3)</f>
        <v>5.1597823922082648</v>
      </c>
      <c r="V4" s="49">
        <f>SUM(C4,F4,I4,L4,O4,R4-R3,U4-U3)-B3</f>
        <v>0</v>
      </c>
      <c r="W4" s="54">
        <v>0.66666666666666663</v>
      </c>
      <c r="X4" s="13">
        <f>SUM(D4,G4,J4,M4,P4,S4)</f>
        <v>293622.74383763946</v>
      </c>
      <c r="Y4" s="25">
        <f>SUM(E4,H4,K4,N4,Q4,T4)</f>
        <v>632.19037258726848</v>
      </c>
    </row>
    <row r="5" spans="1:25" x14ac:dyDescent="0.2">
      <c r="A5" s="10">
        <v>2</v>
      </c>
      <c r="B5" s="15">
        <f t="shared" ref="B5:B33" si="13">SUM(C5,F5,I5,L5,O5)</f>
        <v>984.84398469654582</v>
      </c>
      <c r="C5" s="27">
        <f>(1-SUM(pHealthyStage1,pHealthyStage2,pHealthyStage3))*C4*(1-'Life Table - Female'!B59)</f>
        <v>837.33997855063433</v>
      </c>
      <c r="D5" s="19">
        <f t="shared" si="2"/>
        <v>0</v>
      </c>
      <c r="E5" s="20">
        <f t="shared" si="1"/>
        <v>1052.364317781298</v>
      </c>
      <c r="F5" s="27">
        <f>SUM(pHealthyStage1*C4,(1-SUM(pStage1Remission,pStage1Stage2))*F4,pStage2Stage1*I4,pRemissionStage1*O4)*(1-'Life Table - Female'!B59)</f>
        <v>78.64901736150216</v>
      </c>
      <c r="G5" s="19">
        <f t="shared" si="3"/>
        <v>158153.04964766197</v>
      </c>
      <c r="H5" s="20">
        <f t="shared" si="4"/>
        <v>86.984177306214093</v>
      </c>
      <c r="I5" s="27">
        <f>SUM(pHealthyStage2*C4,pStage1Stage2*F4,(1-SUM(pStage2Remission, pStage2Stage1, pStage2Stage3))*I4,pStage3Stage2*L4,pRemissionStage2*O4)*(1-'Life Table - Female'!B59)</f>
        <v>35.515719789659464</v>
      </c>
      <c r="J5" s="19">
        <f t="shared" si="5"/>
        <v>321378.93296326784</v>
      </c>
      <c r="K5" s="20">
        <f t="shared" si="6"/>
        <v>31.691533667211132</v>
      </c>
      <c r="L5" s="27">
        <f>SUM(pHealthyStage3*C4,pStage2Stage3*I4,(1-SUM(pStage3Death, pStage3Stage2))*L4)*(1-'Life Table - Female'!B59)</f>
        <v>17.015888032928768</v>
      </c>
      <c r="M5" s="19">
        <f t="shared" si="7"/>
        <v>496143.0261902755</v>
      </c>
      <c r="N5" s="20">
        <f t="shared" si="8"/>
        <v>7.6987710960559967</v>
      </c>
      <c r="O5" s="27">
        <f>SUM(pStage1Remission*F4,pStage2Remission*I4,(1-SUM(pRemissionStage1, pRemissionStage2))*O4)*(1-'Life Table - Female'!B59)</f>
        <v>16.323380961821201</v>
      </c>
      <c r="P5" s="19">
        <f t="shared" si="9"/>
        <v>10257.568078562981</v>
      </c>
      <c r="Q5" s="23">
        <f t="shared" si="10"/>
        <v>19.489379349269662</v>
      </c>
      <c r="R5" s="27">
        <f>SUM(pStage3Death*L4*(1-'Life Table - Female'!B59),R4)</f>
        <v>4.4518311714057823</v>
      </c>
      <c r="S5" s="19">
        <f t="shared" si="11"/>
        <v>0</v>
      </c>
      <c r="T5" s="23">
        <f t="shared" si="12"/>
        <v>0</v>
      </c>
      <c r="U5" s="199">
        <f>SUM(B4*'Life Table - Female'!B59,U4)</f>
        <v>10.704184132048294</v>
      </c>
      <c r="V5" s="49">
        <f t="shared" ref="V5:V33" si="14">SUM(C5,F5,I5,L5,O5,R5-R4,U5-U4)-B4</f>
        <v>0</v>
      </c>
      <c r="W5" s="54">
        <v>1.3333333333333333</v>
      </c>
      <c r="X5" s="13">
        <f t="shared" ref="X5:Y33" si="15">SUM(D5,G5,J5,M5,P5,S5)</f>
        <v>985932.57687976828</v>
      </c>
      <c r="Y5" s="25">
        <f t="shared" si="15"/>
        <v>1198.228179200049</v>
      </c>
    </row>
    <row r="6" spans="1:25" x14ac:dyDescent="0.2">
      <c r="A6" s="10">
        <v>3</v>
      </c>
      <c r="B6" s="15">
        <f t="shared" si="13"/>
        <v>971.29683323852021</v>
      </c>
      <c r="C6" s="27">
        <f>(1-SUM(pHealthyStage1,pHealthyStage2,pHealthyStage3))*C5*(1-'Life Table - Female'!B60)</f>
        <v>765.70947242329805</v>
      </c>
      <c r="D6" s="19">
        <f t="shared" si="2"/>
        <v>0</v>
      </c>
      <c r="E6" s="20">
        <f t="shared" si="1"/>
        <v>467.15509145059292</v>
      </c>
      <c r="F6" s="27">
        <f>SUM(pHealthyStage1*C5,(1-SUM(pStage1Remission,pStage1Stage2))*F5,pStage2Stage1*I5,pRemissionStage1*O5)*(1-'Life Table - Female'!B60)</f>
        <v>95.815950666924564</v>
      </c>
      <c r="G6" s="19">
        <f t="shared" si="3"/>
        <v>93530.845958218473</v>
      </c>
      <c r="H6" s="20">
        <f t="shared" si="4"/>
        <v>51.441965277020152</v>
      </c>
      <c r="I6" s="27">
        <f>SUM(pHealthyStage2*C5,pStage1Stage2*F5,(1-SUM(pStage2Remission, pStage2Stage1, pStage2Stage3))*I5,pStage3Stage2*L5,pRemissionStage2*O5)*(1-'Life Table - Female'!B60)</f>
        <v>47.301258979177668</v>
      </c>
      <c r="J6" s="19">
        <f t="shared" si="5"/>
        <v>207779.29263215131</v>
      </c>
      <c r="K6" s="20">
        <f t="shared" si="6"/>
        <v>20.48934691233714</v>
      </c>
      <c r="L6" s="27">
        <f>SUM(pHealthyStage3*C5,pStage2Stage3*I5,(1-SUM(pStage3Death, pStage3Stage2))*L5)*(1-'Life Table - Female'!B60)</f>
        <v>22.074838634254814</v>
      </c>
      <c r="M6" s="19">
        <f t="shared" si="7"/>
        <v>312451.48227917356</v>
      </c>
      <c r="N6" s="20">
        <f t="shared" si="8"/>
        <v>4.8483850698492441</v>
      </c>
      <c r="O6" s="27">
        <f>SUM(pStage1Remission*F5,pStage2Remission*I5,(1-SUM(pRemissionStage1, pRemissionStage2))*O5)*(1-'Life Table - Female'!B60)</f>
        <v>40.395312534865155</v>
      </c>
      <c r="P6" s="19">
        <f t="shared" si="9"/>
        <v>12322.477781081994</v>
      </c>
      <c r="Q6" s="23">
        <f t="shared" si="10"/>
        <v>23.41270778405579</v>
      </c>
      <c r="R6" s="27">
        <f>SUM(pStage3Death*L5*(1-'Life Table - Female'!B60),R5)</f>
        <v>12.062827252707056</v>
      </c>
      <c r="S6" s="19">
        <f t="shared" si="11"/>
        <v>0</v>
      </c>
      <c r="T6" s="23">
        <f t="shared" si="12"/>
        <v>0</v>
      </c>
      <c r="U6" s="199">
        <f>SUM(B5*'Life Table - Female'!B60,U5)</f>
        <v>16.640339508772712</v>
      </c>
      <c r="V6" s="49">
        <f t="shared" si="14"/>
        <v>0</v>
      </c>
      <c r="W6" s="54">
        <v>0.66666666666666663</v>
      </c>
      <c r="X6" s="13">
        <f t="shared" si="15"/>
        <v>626084.09865062544</v>
      </c>
      <c r="Y6" s="25">
        <f t="shared" si="15"/>
        <v>567.34749649385526</v>
      </c>
    </row>
    <row r="7" spans="1:25" x14ac:dyDescent="0.2">
      <c r="A7" s="10">
        <v>4</v>
      </c>
      <c r="B7" s="15">
        <f t="shared" si="13"/>
        <v>955.07682188946228</v>
      </c>
      <c r="C7" s="27">
        <f>(1-SUM(pHealthyStage1,pHealthyStage2,pHealthyStage3))*C6*(1-'Life Table - Female'!B61)</f>
        <v>699.84631277307642</v>
      </c>
      <c r="D7" s="19">
        <f t="shared" si="2"/>
        <v>0</v>
      </c>
      <c r="E7" s="20">
        <f t="shared" si="1"/>
        <v>829.07251257390749</v>
      </c>
      <c r="F7" s="27">
        <f>SUM(pHealthyStage1*C6,(1-SUM(pStage1Remission,pStage1Stage2))*F6,pStage2Stage1*I6,pRemissionStage1*O6)*(1-'Life Table - Female'!B61)</f>
        <v>106.2709582710941</v>
      </c>
      <c r="G7" s="19">
        <f t="shared" si="3"/>
        <v>201430.12265270561</v>
      </c>
      <c r="H7" s="20">
        <f t="shared" si="4"/>
        <v>110.7865674589881</v>
      </c>
      <c r="I7" s="27">
        <f>SUM(pHealthyStage2*C6,pStage1Stage2*F6,(1-SUM(pStage2Remission, pStage2Stage1, pStage2Stage3))*I6,pStage3Stage2*L6,pRemissionStage2*O6)*(1-'Life Table - Female'!B61)</f>
        <v>56.031248707239804</v>
      </c>
      <c r="J7" s="19">
        <f t="shared" si="5"/>
        <v>477917.17204728239</v>
      </c>
      <c r="K7" s="20">
        <f t="shared" si="6"/>
        <v>47.127943354662577</v>
      </c>
      <c r="L7" s="27">
        <f>SUM(pHealthyStage3*C6,pStage2Stage3*I6,(1-SUM(pStage3Death, pStage3Stage2))*L6)*(1-'Life Table - Female'!B61)</f>
        <v>25.621064549861433</v>
      </c>
      <c r="M7" s="19">
        <f t="shared" si="7"/>
        <v>704165.90526351694</v>
      </c>
      <c r="N7" s="20">
        <f t="shared" si="8"/>
        <v>10.926712323054574</v>
      </c>
      <c r="O7" s="27">
        <f>SUM(pStage1Remission*F6,pStage2Remission*I6,(1-SUM(pRemissionStage1, pRemissionStage2))*O6)*(1-'Life Table - Female'!B61)</f>
        <v>67.307237588190532</v>
      </c>
      <c r="P7" s="19">
        <f t="shared" si="9"/>
        <v>39867.739218727533</v>
      </c>
      <c r="Q7" s="23">
        <f t="shared" si="10"/>
        <v>75.748704515582304</v>
      </c>
      <c r="R7" s="27">
        <f>SUM(pStage3Death*L6*(1-'Life Table - Female'!B61),R6)</f>
        <v>21.931548525385747</v>
      </c>
      <c r="S7" s="19">
        <f t="shared" si="11"/>
        <v>0</v>
      </c>
      <c r="T7" s="23">
        <f t="shared" si="12"/>
        <v>0</v>
      </c>
      <c r="U7" s="199">
        <f>SUM(B6*'Life Table - Female'!B61,U6)</f>
        <v>22.991629585152019</v>
      </c>
      <c r="V7" s="49">
        <f t="shared" si="14"/>
        <v>0</v>
      </c>
      <c r="W7" s="54">
        <v>1.3333333333333333</v>
      </c>
      <c r="X7" s="13">
        <f t="shared" si="15"/>
        <v>1423380.9391822324</v>
      </c>
      <c r="Y7" s="25">
        <f t="shared" si="15"/>
        <v>1073.662440226195</v>
      </c>
    </row>
    <row r="8" spans="1:25" x14ac:dyDescent="0.2">
      <c r="A8" s="10">
        <v>5</v>
      </c>
      <c r="B8" s="15">
        <f t="shared" si="13"/>
        <v>936.84604148328822</v>
      </c>
      <c r="C8" s="27">
        <f>(1-SUM(pHealthyStage1,pHealthyStage2,pHealthyStage3))*C7*(1-'Life Table - Female'!B62)</f>
        <v>639.28576824753213</v>
      </c>
      <c r="D8" s="19">
        <f t="shared" si="2"/>
        <v>0</v>
      </c>
      <c r="E8" s="20">
        <f t="shared" si="1"/>
        <v>367.63567961473342</v>
      </c>
      <c r="F8" s="27">
        <f>SUM(pHealthyStage1*C7,(1-SUM(pStage1Remission,pStage1Stage2))*F7,pStage2Stage1*I7,pRemissionStage1*O7)*(1-'Life Table - Female'!B62)</f>
        <v>112.79390489590006</v>
      </c>
      <c r="G8" s="19">
        <f t="shared" si="3"/>
        <v>103783.48073407504</v>
      </c>
      <c r="H8" s="20">
        <f t="shared" si="4"/>
        <v>57.080914403741275</v>
      </c>
      <c r="I8" s="27">
        <f>SUM(pHealthyStage2*C7,pStage1Stage2*F7,(1-SUM(pStage2Remission, pStage2Stage1, pStage2Stage3))*I7,pStage3Stage2*L7,pRemissionStage2*O7)*(1-'Life Table - Female'!B62)</f>
        <v>62.44253220662592</v>
      </c>
      <c r="J8" s="19">
        <f t="shared" si="5"/>
        <v>258544.68864300766</v>
      </c>
      <c r="K8" s="20">
        <f t="shared" si="6"/>
        <v>25.495379018963256</v>
      </c>
      <c r="L8" s="27">
        <f>SUM(pHealthyStage3*C7,pStage2Stage3*I7,(1-SUM(pStage3Death, pStage3Stage2))*L7)*(1-'Life Table - Female'!B62)</f>
        <v>28.013302312675744</v>
      </c>
      <c r="M8" s="19">
        <f t="shared" si="7"/>
        <v>373744.58612329396</v>
      </c>
      <c r="N8" s="20">
        <f t="shared" si="8"/>
        <v>5.7994849570855962</v>
      </c>
      <c r="O8" s="27">
        <f>SUM(pStage1Remission*F7,pStage2Remission*I7,(1-SUM(pRemissionStage1, pRemissionStage2))*O7)*(1-'Life Table - Female'!B62)</f>
        <v>94.310533820554355</v>
      </c>
      <c r="P8" s="19">
        <f t="shared" si="9"/>
        <v>27117.698311189994</v>
      </c>
      <c r="Q8" s="23">
        <f t="shared" si="10"/>
        <v>51.523626791260988</v>
      </c>
      <c r="R8" s="27">
        <f>SUM(pStage3Death*L7*(1-'Life Table - Female'!B62),R7)</f>
        <v>33.379142425043312</v>
      </c>
      <c r="S8" s="19">
        <f t="shared" si="11"/>
        <v>0</v>
      </c>
      <c r="T8" s="23">
        <f t="shared" si="12"/>
        <v>0</v>
      </c>
      <c r="U8" s="199">
        <f>SUM(B7*'Life Table - Female'!B62,U7)</f>
        <v>29.77481609166863</v>
      </c>
      <c r="V8" s="49">
        <f t="shared" si="14"/>
        <v>0</v>
      </c>
      <c r="W8" s="54">
        <v>0.66666666666666663</v>
      </c>
      <c r="X8" s="13">
        <f t="shared" si="15"/>
        <v>763190.45381156669</v>
      </c>
      <c r="Y8" s="25">
        <f t="shared" si="15"/>
        <v>507.53508478578453</v>
      </c>
    </row>
    <row r="9" spans="1:25" x14ac:dyDescent="0.2">
      <c r="A9" s="10">
        <v>6</v>
      </c>
      <c r="B9" s="15">
        <f t="shared" si="13"/>
        <v>917.10966300198095</v>
      </c>
      <c r="C9" s="27">
        <f>(1-SUM(pHealthyStage1,pHealthyStage2,pHealthyStage3))*C8*(1-'Life Table - Female'!B63)</f>
        <v>583.60546036149196</v>
      </c>
      <c r="D9" s="19">
        <f t="shared" si="2"/>
        <v>0</v>
      </c>
      <c r="E9" s="20">
        <f t="shared" si="1"/>
        <v>651.68051355648799</v>
      </c>
      <c r="F9" s="27">
        <f>SUM(pHealthyStage1*C8,(1-SUM(pStage1Remission,pStage1Stage2))*F8,pStage2Stage1*I8,pRemissionStage1*O8)*(1-'Life Table - Female'!B63)</f>
        <v>116.92443633022008</v>
      </c>
      <c r="G9" s="19">
        <f t="shared" si="3"/>
        <v>208901.06591609519</v>
      </c>
      <c r="H9" s="20">
        <f t="shared" si="4"/>
        <v>114.89558625385236</v>
      </c>
      <c r="I9" s="27">
        <f>SUM(pHealthyStage2*C8,pStage1Stage2*F8,(1-SUM(pStage2Remission, pStage2Stage1, pStage2Stage3))*I8,pStage3Stage2*L8,pRemissionStage2*O8)*(1-'Life Table - Female'!B63)</f>
        <v>67.124930544937897</v>
      </c>
      <c r="J9" s="19">
        <f t="shared" si="5"/>
        <v>539674.2965987447</v>
      </c>
      <c r="K9" s="20">
        <f t="shared" si="6"/>
        <v>53.21788202570955</v>
      </c>
      <c r="L9" s="27">
        <f>SUM(pHealthyStage3*C8,pStage2Stage3*I8,(1-SUM(pStage3Death, pStage3Stage2))*L8)*(1-'Life Table - Female'!B63)</f>
        <v>29.5362486901187</v>
      </c>
      <c r="M9" s="19">
        <f t="shared" si="7"/>
        <v>765171.36544486496</v>
      </c>
      <c r="N9" s="20">
        <f t="shared" si="8"/>
        <v>11.873348774144457</v>
      </c>
      <c r="O9" s="27">
        <f>SUM(pStage1Remission*F8,pStage2Remission*I8,(1-SUM(pRemissionStage1, pRemissionStage2))*O8)*(1-'Life Table - Female'!B63)</f>
        <v>119.91858707521236</v>
      </c>
      <c r="P9" s="19">
        <f t="shared" si="9"/>
        <v>66953.285839492208</v>
      </c>
      <c r="Q9" s="23">
        <f t="shared" si="10"/>
        <v>127.21124309503516</v>
      </c>
      <c r="R9" s="27">
        <f>SUM(pStage3Death*L8*(1-'Life Table - Female'!B63),R8)</f>
        <v>45.88787491452802</v>
      </c>
      <c r="S9" s="19">
        <f t="shared" si="11"/>
        <v>0</v>
      </c>
      <c r="T9" s="23">
        <f t="shared" si="12"/>
        <v>0</v>
      </c>
      <c r="U9" s="199">
        <f>SUM(B8*'Life Table - Female'!B63,U8)</f>
        <v>37.002462083491039</v>
      </c>
      <c r="V9" s="49">
        <f t="shared" si="14"/>
        <v>0</v>
      </c>
      <c r="W9" s="54">
        <v>1.3333333333333333</v>
      </c>
      <c r="X9" s="13">
        <f t="shared" si="15"/>
        <v>1580700.013799197</v>
      </c>
      <c r="Y9" s="25">
        <f t="shared" si="15"/>
        <v>958.87857370522943</v>
      </c>
    </row>
    <row r="10" spans="1:25" x14ac:dyDescent="0.2">
      <c r="A10" s="10">
        <v>7</v>
      </c>
      <c r="B10" s="15">
        <f t="shared" si="13"/>
        <v>896.2737598449379</v>
      </c>
      <c r="C10" s="27">
        <f>(1-SUM(pHealthyStage1,pHealthyStage2,pHealthyStage3))*C9*(1-'Life Table - Female'!B64)</f>
        <v>532.43512794930257</v>
      </c>
      <c r="D10" s="19">
        <f t="shared" si="2"/>
        <v>0</v>
      </c>
      <c r="E10" s="20">
        <f t="shared" si="1"/>
        <v>288.61232191772689</v>
      </c>
      <c r="F10" s="27">
        <f>SUM(pHealthyStage1*C9,(1-SUM(pStage1Remission,pStage1Stage2))*F9,pStage2Stage1*I9,pRemissionStage1*O9)*(1-'Life Table - Female'!B64)</f>
        <v>119.52314818000289</v>
      </c>
      <c r="G10" s="19">
        <f t="shared" si="3"/>
        <v>103662.14100714045</v>
      </c>
      <c r="H10" s="20">
        <f t="shared" si="4"/>
        <v>57.014177553927247</v>
      </c>
      <c r="I10" s="27">
        <f>SUM(pHealthyStage2*C9,pStage1Stage2*F9,(1-SUM(pStage2Remission, pStage2Stage1, pStage2Stage3))*I9,pStage3Stage2*L9,pRemissionStage2*O9)*(1-'Life Table - Female'!B64)</f>
        <v>70.518645976248862</v>
      </c>
      <c r="J10" s="19">
        <f t="shared" si="5"/>
        <v>275222.93968663248</v>
      </c>
      <c r="K10" s="20">
        <f t="shared" si="6"/>
        <v>27.140039885765145</v>
      </c>
      <c r="L10" s="27">
        <f>SUM(pHealthyStage3*C9,pStage2Stage3*I9,(1-SUM(pStage3Death, pStage3Stage2))*L9)*(1-'Life Table - Female'!B64)</f>
        <v>30.416877443874267</v>
      </c>
      <c r="M10" s="19">
        <f t="shared" si="7"/>
        <v>382517.03503166582</v>
      </c>
      <c r="N10" s="20">
        <f t="shared" si="8"/>
        <v>5.9356091642844699</v>
      </c>
      <c r="O10" s="27">
        <f>SUM(pStage1Remission*F9,pStage2Remission*I9,(1-SUM(pRemissionStage1, pRemissionStage2))*O9)*(1-'Life Table - Female'!B64)</f>
        <v>143.37996029550936</v>
      </c>
      <c r="P10" s="19">
        <f t="shared" si="9"/>
        <v>38860.342871008586</v>
      </c>
      <c r="Q10" s="23">
        <f t="shared" si="10"/>
        <v>73.834651454916312</v>
      </c>
      <c r="R10" s="27">
        <f>SUM(pStage3Death*L9*(1-'Life Table - Female'!B64),R9)</f>
        <v>59.068238075951001</v>
      </c>
      <c r="S10" s="19">
        <f t="shared" si="11"/>
        <v>0</v>
      </c>
      <c r="T10" s="23">
        <f t="shared" si="12"/>
        <v>0</v>
      </c>
      <c r="U10" s="199">
        <f>SUM(B9*'Life Table - Female'!B64,U9)</f>
        <v>44.658002079111206</v>
      </c>
      <c r="V10" s="49">
        <f t="shared" si="14"/>
        <v>0</v>
      </c>
      <c r="W10" s="54">
        <v>0.66666666666666663</v>
      </c>
      <c r="X10" s="13">
        <f t="shared" si="15"/>
        <v>800262.45859644737</v>
      </c>
      <c r="Y10" s="25">
        <f t="shared" si="15"/>
        <v>452.53679997662005</v>
      </c>
    </row>
    <row r="11" spans="1:25" x14ac:dyDescent="0.2">
      <c r="A11" s="10">
        <v>8</v>
      </c>
      <c r="B11" s="15">
        <f t="shared" si="13"/>
        <v>874.66952930032869</v>
      </c>
      <c r="C11" s="27">
        <f>(1-SUM(pHealthyStage1,pHealthyStage2,pHealthyStage3))*C10*(1-'Life Table - Female'!B65)</f>
        <v>485.44654008824102</v>
      </c>
      <c r="D11" s="19">
        <f t="shared" si="2"/>
        <v>0</v>
      </c>
      <c r="E11" s="20">
        <f t="shared" si="1"/>
        <v>510.9546420152102</v>
      </c>
      <c r="F11" s="27">
        <f>SUM(pHealthyStage1*C10,(1-SUM(pStage1Remission,pStage1Stage2))*F10,pStage2Stage1*I10,pRemissionStage1*O10)*(1-'Life Table - Female'!B65)</f>
        <v>121.07983718931042</v>
      </c>
      <c r="G11" s="19">
        <f t="shared" si="3"/>
        <v>203907.28867513503</v>
      </c>
      <c r="H11" s="20">
        <f t="shared" si="4"/>
        <v>112.14900877132428</v>
      </c>
      <c r="I11" s="27">
        <f>SUM(pHealthyStage2*C10,pStage1Stage2*F10,(1-SUM(pStage2Remission, pStage2Stage1, pStage2Stage3))*I10,pStage3Stage2*L10,pRemissionStage2*O10)*(1-'Life Table - Female'!B65)</f>
        <v>72.941850016335323</v>
      </c>
      <c r="J11" s="19">
        <f t="shared" si="5"/>
        <v>552777.31172003725</v>
      </c>
      <c r="K11" s="20">
        <f t="shared" si="6"/>
        <v>54.509984905725887</v>
      </c>
      <c r="L11" s="27">
        <f>SUM(pHealthyStage3*C10,pStage2Stage3*I10,(1-SUM(pStage3Death, pStage3Stage2))*L10)*(1-'Life Table - Female'!B65)</f>
        <v>30.831530651019083</v>
      </c>
      <c r="M11" s="19">
        <f t="shared" si="7"/>
        <v>752876.96545544628</v>
      </c>
      <c r="N11" s="20">
        <f t="shared" si="8"/>
        <v>11.682573601894854</v>
      </c>
      <c r="O11" s="27">
        <f>SUM(pStage1Remission*F10,pStage2Remission*I10,(1-SUM(pRemissionStage1, pRemissionStage2))*O10)*(1-'Life Table - Female'!B65)</f>
        <v>164.36977135542281</v>
      </c>
      <c r="P11" s="19">
        <f t="shared" si="9"/>
        <v>86503.34356669402</v>
      </c>
      <c r="Q11" s="23">
        <f t="shared" si="10"/>
        <v>164.35635277671861</v>
      </c>
      <c r="R11" s="27">
        <f>SUM(pStage3Death*L10*(1-'Life Table - Female'!B65),R10)</f>
        <v>72.633057715451997</v>
      </c>
      <c r="S11" s="19">
        <f t="shared" si="11"/>
        <v>0</v>
      </c>
      <c r="T11" s="23">
        <f t="shared" si="12"/>
        <v>0</v>
      </c>
      <c r="U11" s="199">
        <f>SUM(B10*'Life Table - Female'!B65,U10)</f>
        <v>52.697412984219511</v>
      </c>
      <c r="V11" s="49">
        <f t="shared" si="14"/>
        <v>0</v>
      </c>
      <c r="W11" s="54">
        <v>1.3333333333333333</v>
      </c>
      <c r="X11" s="13">
        <f t="shared" si="15"/>
        <v>1596064.9094173126</v>
      </c>
      <c r="Y11" s="25">
        <f t="shared" si="15"/>
        <v>853.65256207087384</v>
      </c>
    </row>
    <row r="12" spans="1:25" x14ac:dyDescent="0.2">
      <c r="A12" s="10">
        <v>9</v>
      </c>
      <c r="B12" s="15">
        <f t="shared" si="13"/>
        <v>852.55731629693491</v>
      </c>
      <c r="C12" s="27">
        <f>(1-SUM(pHealthyStage1,pHealthyStage2,pHealthyStage3))*C11*(1-'Life Table - Female'!B66)</f>
        <v>442.33664095460114</v>
      </c>
      <c r="D12" s="19">
        <f t="shared" si="2"/>
        <v>0</v>
      </c>
      <c r="E12" s="20">
        <f t="shared" si="1"/>
        <v>226.00946863752102</v>
      </c>
      <c r="F12" s="27">
        <f>SUM(pHealthyStage1*C11,(1-SUM(pStage1Remission,pStage1Stage2))*F11,pStage2Stage1*I11,pRemissionStage1*O11)*(1-'Life Table - Female'!B66)</f>
        <v>121.88059254884215</v>
      </c>
      <c r="G12" s="19">
        <f t="shared" si="3"/>
        <v>99638.747175881173</v>
      </c>
      <c r="H12" s="20">
        <f t="shared" si="4"/>
        <v>54.801310946734645</v>
      </c>
      <c r="I12" s="27">
        <f>SUM(pHealthyStage2*C11,pStage1Stage2*F11,(1-SUM(pStage2Remission, pStage2Stage1, pStage2Stage3))*I11,pStage3Stage2*L11,pRemissionStage2*O11)*(1-'Life Table - Female'!B66)</f>
        <v>74.621047207334811</v>
      </c>
      <c r="J12" s="19">
        <f t="shared" si="5"/>
        <v>274515.9319905843</v>
      </c>
      <c r="K12" s="20">
        <f t="shared" si="6"/>
        <v>27.070321071293733</v>
      </c>
      <c r="L12" s="27">
        <f>SUM(pHealthyStage3*C11,pStage2Stage3*I11,(1-SUM(pStage3Death, pStage3Stage2))*L11)*(1-'Life Table - Female'!B66)</f>
        <v>30.912806379129819</v>
      </c>
      <c r="M12" s="19">
        <f t="shared" si="7"/>
        <v>366437.69041453506</v>
      </c>
      <c r="N12" s="20">
        <f t="shared" si="8"/>
        <v>5.6861020926393362</v>
      </c>
      <c r="O12" s="27">
        <f>SUM(pStage1Remission*F11,pStage2Remission*I11,(1-SUM(pRemissionStage1, pRemissionStage2))*O11)*(1-'Life Table - Female'!B66)</f>
        <v>182.80622920702712</v>
      </c>
      <c r="P12" s="19">
        <f t="shared" si="9"/>
        <v>46701.917613636608</v>
      </c>
      <c r="Q12" s="23">
        <f t="shared" si="10"/>
        <v>88.733643465909537</v>
      </c>
      <c r="R12" s="27">
        <f>SUM(pStage3Death*L11*(1-'Life Table - Female'!B66),R11)</f>
        <v>86.374467091750205</v>
      </c>
      <c r="S12" s="19">
        <f t="shared" si="11"/>
        <v>0</v>
      </c>
      <c r="T12" s="23">
        <f t="shared" si="12"/>
        <v>0</v>
      </c>
      <c r="U12" s="199">
        <f>SUM(B11*'Life Table - Female'!B66,U11)</f>
        <v>61.068216611314888</v>
      </c>
      <c r="V12" s="49">
        <f t="shared" si="14"/>
        <v>0</v>
      </c>
      <c r="W12" s="54">
        <v>0.66666666666666663</v>
      </c>
      <c r="X12" s="13">
        <f t="shared" si="15"/>
        <v>787294.28719463712</v>
      </c>
      <c r="Y12" s="25">
        <f t="shared" si="15"/>
        <v>402.30084621409827</v>
      </c>
    </row>
    <row r="13" spans="1:25" x14ac:dyDescent="0.2">
      <c r="A13" s="10">
        <v>10</v>
      </c>
      <c r="B13" s="15">
        <f t="shared" si="13"/>
        <v>830.108030413655</v>
      </c>
      <c r="C13" s="27">
        <f>(1-SUM(pHealthyStage1,pHealthyStage2,pHealthyStage3))*C12*(1-'Life Table - Female'!B67)</f>
        <v>402.8064273301552</v>
      </c>
      <c r="D13" s="19">
        <f t="shared" si="2"/>
        <v>0</v>
      </c>
      <c r="E13" s="20">
        <f t="shared" si="1"/>
        <v>399.63441527687792</v>
      </c>
      <c r="F13" s="27">
        <f>SUM(pHealthyStage1*C12,(1-SUM(pStage1Remission,pStage1Stage2))*F12,pStage2Stage1*I12,pRemissionStage1*O12)*(1-'Life Table - Female'!B67)</f>
        <v>122.09501844681343</v>
      </c>
      <c r="G13" s="19">
        <f t="shared" si="3"/>
        <v>193813.67523301818</v>
      </c>
      <c r="H13" s="20">
        <f t="shared" si="4"/>
        <v>106.59752137816001</v>
      </c>
      <c r="I13" s="27">
        <f>SUM(pHealthyStage2*C12,pStage1Stage2*F12,(1-SUM(pStage2Remission, pStage2Stage1, pStage2Stage3))*I12,pStage3Stage2*L12,pRemissionStage2*O12)*(1-'Life Table - Female'!B67)</f>
        <v>75.714569217143861</v>
      </c>
      <c r="J13" s="19">
        <f t="shared" si="5"/>
        <v>540852.00214563496</v>
      </c>
      <c r="K13" s="20">
        <f t="shared" si="6"/>
        <v>53.334016878250118</v>
      </c>
      <c r="L13" s="27">
        <f>SUM(pHealthyStage3*C12,pStage2Stage3*I12,(1-SUM(pStage3Death, pStage3Stage2))*L12)*(1-'Life Table - Female'!B67)</f>
        <v>30.756563489489043</v>
      </c>
      <c r="M13" s="19">
        <f t="shared" si="7"/>
        <v>707933.20568986028</v>
      </c>
      <c r="N13" s="20">
        <f t="shared" si="8"/>
        <v>10.985170433118519</v>
      </c>
      <c r="O13" s="27">
        <f>SUM(pStage1Remission*F12,pStage2Remission*I12,(1-SUM(pRemissionStage1, pRemissionStage2))*O12)*(1-'Life Table - Female'!B67)</f>
        <v>198.73545193005342</v>
      </c>
      <c r="P13" s="19">
        <f t="shared" si="9"/>
        <v>98585.226970268923</v>
      </c>
      <c r="Q13" s="23">
        <f t="shared" si="10"/>
        <v>187.31193124351094</v>
      </c>
      <c r="R13" s="27">
        <f>SUM(pStage3Death*L12*(1-'Life Table - Female'!B67),R12)</f>
        <v>100.14360013223622</v>
      </c>
      <c r="S13" s="19">
        <f t="shared" si="11"/>
        <v>0</v>
      </c>
      <c r="T13" s="23">
        <f t="shared" si="12"/>
        <v>0</v>
      </c>
      <c r="U13" s="199">
        <f>SUM(B12*'Life Table - Female'!B67,U12)</f>
        <v>69.74836945410901</v>
      </c>
      <c r="V13" s="49">
        <f t="shared" si="14"/>
        <v>0</v>
      </c>
      <c r="W13" s="54">
        <v>1.3333333333333333</v>
      </c>
      <c r="X13" s="13">
        <f t="shared" si="15"/>
        <v>1541184.1100387822</v>
      </c>
      <c r="Y13" s="25">
        <f t="shared" si="15"/>
        <v>757.86305520991743</v>
      </c>
    </row>
    <row r="14" spans="1:25" x14ac:dyDescent="0.2">
      <c r="A14" s="10">
        <v>11</v>
      </c>
      <c r="B14" s="15">
        <f t="shared" si="13"/>
        <v>807.41461272107836</v>
      </c>
      <c r="C14" s="27">
        <f>(1-SUM(pHealthyStage1,pHealthyStage2,pHealthyStage3))*C13*(1-'Life Table - Female'!B68)</f>
        <v>366.56270611591452</v>
      </c>
      <c r="D14" s="19">
        <f t="shared" si="2"/>
        <v>0</v>
      </c>
      <c r="E14" s="20">
        <f t="shared" si="1"/>
        <v>176.54179873717061</v>
      </c>
      <c r="F14" s="27">
        <f>SUM(pHealthyStage1*C13,(1-SUM(pStage1Remission,pStage1Stage2))*F13,pStage2Stage1*I13,pRemissionStage1*O13)*(1-'Life Table - Female'!B68)</f>
        <v>121.8255902771898</v>
      </c>
      <c r="G14" s="19">
        <f t="shared" si="3"/>
        <v>93876.691680474905</v>
      </c>
      <c r="H14" s="20">
        <f t="shared" si="4"/>
        <v>51.632180424261186</v>
      </c>
      <c r="I14" s="27">
        <f>SUM(pHealthyStage2*C13,pStage1Stage2*F13,(1-SUM(pStage2Remission, pStage2Stage1, pStage2Stage3))*I13,pStage3Stage2*L13,pRemissionStage2*O13)*(1-'Life Table - Female'!B68)</f>
        <v>76.332023919886467</v>
      </c>
      <c r="J14" s="19">
        <f t="shared" si="5"/>
        <v>264690.61519474385</v>
      </c>
      <c r="K14" s="20">
        <f t="shared" si="6"/>
        <v>26.101435665037243</v>
      </c>
      <c r="L14" s="27">
        <f>SUM(pHealthyStage3*C13,pStage2Stage3*I13,(1-SUM(pStage3Death, pStage3Stage2))*L13)*(1-'Life Table - Female'!B68)</f>
        <v>30.429880466179796</v>
      </c>
      <c r="M14" s="19">
        <f t="shared" si="7"/>
        <v>340006.71984033869</v>
      </c>
      <c r="N14" s="20">
        <f t="shared" si="8"/>
        <v>5.2759663423500838</v>
      </c>
      <c r="O14" s="27">
        <f>SUM(pStage1Remission*F13,pStage2Remission*I13,(1-SUM(pRemissionStage1, pRemissionStage2))*O13)*(1-'Life Table - Female'!B68)</f>
        <v>212.2644119419077</v>
      </c>
      <c r="P14" s="19">
        <f t="shared" si="9"/>
        <v>51114.775817186164</v>
      </c>
      <c r="Q14" s="23">
        <f t="shared" si="10"/>
        <v>97.118074052653725</v>
      </c>
      <c r="R14" s="27">
        <f>SUM(pStage3Death*L13*(1-'Life Table - Female'!B68),R13)</f>
        <v>113.8339447892405</v>
      </c>
      <c r="S14" s="19">
        <f t="shared" si="11"/>
        <v>0</v>
      </c>
      <c r="T14" s="23">
        <f t="shared" si="12"/>
        <v>0</v>
      </c>
      <c r="U14" s="199">
        <f>SUM(B13*'Life Table - Female'!B68,U13)</f>
        <v>78.751442489681395</v>
      </c>
      <c r="V14" s="49">
        <f t="shared" si="14"/>
        <v>0</v>
      </c>
      <c r="W14" s="54">
        <v>0.66666666666666663</v>
      </c>
      <c r="X14" s="13">
        <f t="shared" si="15"/>
        <v>749688.80253274366</v>
      </c>
      <c r="Y14" s="25">
        <f t="shared" si="15"/>
        <v>356.66945522147284</v>
      </c>
    </row>
    <row r="15" spans="1:25" x14ac:dyDescent="0.2">
      <c r="A15" s="10">
        <v>12</v>
      </c>
      <c r="B15" s="15">
        <f t="shared" si="13"/>
        <v>784.49115800048537</v>
      </c>
      <c r="C15" s="27">
        <f>(1-SUM(pHealthyStage1,pHealthyStage2,pHealthyStage3))*C14*(1-'Life Table - Female'!B69)</f>
        <v>333.31602686048132</v>
      </c>
      <c r="D15" s="19">
        <f t="shared" si="2"/>
        <v>0</v>
      </c>
      <c r="E15" s="20">
        <f t="shared" si="1"/>
        <v>311.70820664773629</v>
      </c>
      <c r="F15" s="27">
        <f>SUM(pHealthyStage1*C14,(1-SUM(pStage1Remission,pStage1Stage2))*F14,pStage2Stage1*I14,pRemissionStage1*O14)*(1-'Life Table - Female'!B69)</f>
        <v>121.13261359915589</v>
      </c>
      <c r="G15" s="19">
        <f t="shared" si="3"/>
        <v>181247.95309576034</v>
      </c>
      <c r="H15" s="20">
        <f t="shared" si="4"/>
        <v>99.686374202668205</v>
      </c>
      <c r="I15" s="27">
        <f>SUM(pHealthyStage2*C14,pStage1Stage2*F14,(1-SUM(pStage2Remission, pStage2Stage1, pStage2Stage3))*I14,pStage3Stage2*L14,pRemissionStage2*O14)*(1-'Life Table - Female'!B69)</f>
        <v>76.547119398558948</v>
      </c>
      <c r="J15" s="19">
        <f t="shared" si="5"/>
        <v>515410.65055563342</v>
      </c>
      <c r="K15" s="20">
        <f t="shared" si="6"/>
        <v>50.82521692979163</v>
      </c>
      <c r="L15" s="27">
        <f>SUM(pHealthyStage3*C14,pStage2Stage3*I14,(1-SUM(pStage3Death, pStage3Stage2))*L14)*(1-'Life Table - Female'!B69)</f>
        <v>29.977665683995244</v>
      </c>
      <c r="M15" s="19">
        <f t="shared" si="7"/>
        <v>650395.96310534619</v>
      </c>
      <c r="N15" s="20">
        <f t="shared" si="8"/>
        <v>10.092351151634682</v>
      </c>
      <c r="O15" s="27">
        <f>SUM(pStage1Remission*F14,pStage2Remission*I14,(1-SUM(pRemissionStage1, pRemissionStage2))*O14)*(1-'Life Table - Female'!B69)</f>
        <v>223.51773245829398</v>
      </c>
      <c r="P15" s="19">
        <f t="shared" si="9"/>
        <v>104513.89360840218</v>
      </c>
      <c r="Q15" s="23">
        <f t="shared" si="10"/>
        <v>198.5763978559641</v>
      </c>
      <c r="R15" s="27">
        <f>SUM(pStage3Death*L14*(1-'Life Table - Female'!B69),R14)</f>
        <v>127.36815293105586</v>
      </c>
      <c r="S15" s="19">
        <f t="shared" si="11"/>
        <v>0</v>
      </c>
      <c r="T15" s="23">
        <f t="shared" si="12"/>
        <v>0</v>
      </c>
      <c r="U15" s="199">
        <f>SUM(B14*'Life Table - Female'!B69,U14)</f>
        <v>88.140689068458997</v>
      </c>
      <c r="V15" s="49">
        <f t="shared" si="14"/>
        <v>0</v>
      </c>
      <c r="W15" s="54">
        <v>1.3333333333333333</v>
      </c>
      <c r="X15" s="13">
        <f t="shared" si="15"/>
        <v>1451568.4603651422</v>
      </c>
      <c r="Y15" s="25">
        <f t="shared" si="15"/>
        <v>670.88854678779489</v>
      </c>
    </row>
    <row r="16" spans="1:25" x14ac:dyDescent="0.2">
      <c r="A16" s="10">
        <v>13</v>
      </c>
      <c r="B16" s="15">
        <f t="shared" si="13"/>
        <v>761.33034645012708</v>
      </c>
      <c r="C16" s="27">
        <f>(1-SUM(pHealthyStage1,pHealthyStage2,pHealthyStage3))*C15*(1-'Life Table - Female'!B70)</f>
        <v>302.80434732659563</v>
      </c>
      <c r="D16" s="19">
        <f t="shared" si="2"/>
        <v>0</v>
      </c>
      <c r="E16" s="20">
        <f t="shared" si="1"/>
        <v>137.46335071186996</v>
      </c>
      <c r="F16" s="27">
        <f>SUM(pHealthyStage1*C15,(1-SUM(pStage1Remission,pStage1Stage2))*F15,pStage2Stage1*I15,pRemissionStage1*O15)*(1-'Life Table - Female'!B70)</f>
        <v>120.05610672584955</v>
      </c>
      <c r="G16" s="19">
        <f t="shared" si="3"/>
        <v>87202.52453261998</v>
      </c>
      <c r="H16" s="20">
        <f t="shared" si="4"/>
        <v>47.961388492940976</v>
      </c>
      <c r="I16" s="27">
        <f>SUM(pHealthyStage2*C15,pStage1Stage2*F15,(1-SUM(pStage2Remission, pStage2Stage1, pStage2Stage3))*I15,pStage3Stage2*L15,pRemissionStage2*O15)*(1-'Life Table - Female'!B70)</f>
        <v>76.411993742995307</v>
      </c>
      <c r="J16" s="19">
        <f t="shared" si="5"/>
        <v>249757.67774804629</v>
      </c>
      <c r="K16" s="20">
        <f t="shared" si="6"/>
        <v>24.628882111265675</v>
      </c>
      <c r="L16" s="27">
        <f>SUM(pHealthyStage3*C15,pStage2Stage3*I15,(1-SUM(pStage3Death, pStage3Stage2))*L15)*(1-'Life Table - Female'!B70)</f>
        <v>29.430221190059434</v>
      </c>
      <c r="M16" s="19">
        <f t="shared" si="7"/>
        <v>309960.48432764324</v>
      </c>
      <c r="N16" s="20">
        <f t="shared" si="8"/>
        <v>4.8097316533599814</v>
      </c>
      <c r="O16" s="27">
        <f>SUM(pStage1Remission*F15,pStage2Remission*I15,(1-SUM(pRemissionStage1, pRemissionStage2))*O15)*(1-'Life Table - Female'!B70)</f>
        <v>232.62767746462717</v>
      </c>
      <c r="P16" s="19">
        <f t="shared" si="9"/>
        <v>52802.70956301289</v>
      </c>
      <c r="Q16" s="23">
        <f t="shared" si="10"/>
        <v>100.32514816972449</v>
      </c>
      <c r="R16" s="27">
        <f>SUM(pStage3Death*L15*(1-'Life Table - Female'!B70),R15)</f>
        <v>140.68889466008315</v>
      </c>
      <c r="S16" s="19">
        <f t="shared" si="11"/>
        <v>0</v>
      </c>
      <c r="T16" s="23">
        <f t="shared" si="12"/>
        <v>0</v>
      </c>
      <c r="U16" s="199">
        <f>SUM(B15*'Life Table - Female'!B70,U15)</f>
        <v>97.980758889789954</v>
      </c>
      <c r="V16" s="49">
        <f t="shared" si="14"/>
        <v>0</v>
      </c>
      <c r="W16" s="54">
        <v>0.66666666666666663</v>
      </c>
      <c r="X16" s="13">
        <f t="shared" si="15"/>
        <v>699723.39617132244</v>
      </c>
      <c r="Y16" s="25">
        <f t="shared" si="15"/>
        <v>315.18850113916108</v>
      </c>
    </row>
    <row r="17" spans="1:25" x14ac:dyDescent="0.2">
      <c r="A17" s="10">
        <v>14</v>
      </c>
      <c r="B17" s="15">
        <f t="shared" si="13"/>
        <v>737.88027654983057</v>
      </c>
      <c r="C17" s="27">
        <f>(1-SUM(pHealthyStage1,pHealthyStage2,pHealthyStage3))*C16*(1-'Life Table - Female'!B71)</f>
        <v>274.77921237072559</v>
      </c>
      <c r="D17" s="19">
        <f t="shared" si="2"/>
        <v>0</v>
      </c>
      <c r="E17" s="20">
        <f t="shared" si="1"/>
        <v>242.21523995613663</v>
      </c>
      <c r="F17" s="27">
        <f>SUM(pHealthyStage1*C16,(1-SUM(pStage1Remission,pStage1Stage2))*F16,pStage2Stage1*I16,pRemissionStage1*O16)*(1-'Life Table - Female'!B71)</f>
        <v>118.61929434805836</v>
      </c>
      <c r="G17" s="19">
        <f t="shared" si="3"/>
        <v>167298.83222856806</v>
      </c>
      <c r="H17" s="20">
        <f t="shared" si="4"/>
        <v>92.014357725712429</v>
      </c>
      <c r="I17" s="27">
        <f>SUM(pHealthyStage2*C16,pStage1Stage2*F16,(1-SUM(pStage2Remission, pStage2Stage1, pStage2Stage3))*I16,pStage3Stage2*L16,pRemissionStage2*O16)*(1-'Life Table - Female'!B71)</f>
        <v>75.961083724549638</v>
      </c>
      <c r="J17" s="19">
        <f t="shared" si="5"/>
        <v>482104.55999595538</v>
      </c>
      <c r="K17" s="20">
        <f t="shared" si="6"/>
        <v>47.540866332934485</v>
      </c>
      <c r="L17" s="27">
        <f>SUM(pHealthyStage3*C16,pStage2Stage3*I16,(1-SUM(pStage3Death, pStage3Stage2))*L16)*(1-'Life Table - Female'!B71)</f>
        <v>28.806497349245415</v>
      </c>
      <c r="M17" s="19">
        <f t="shared" si="7"/>
        <v>589109.5053917194</v>
      </c>
      <c r="N17" s="20">
        <f t="shared" si="8"/>
        <v>9.1413543940094399</v>
      </c>
      <c r="O17" s="27">
        <f>SUM(pStage1Remission*F16,pStage2Remission*I16,(1-SUM(pRemissionStage1, pRemissionStage2))*O16)*(1-'Life Table - Female'!B71)</f>
        <v>239.71418875725163</v>
      </c>
      <c r="P17" s="19">
        <f t="shared" si="9"/>
        <v>105652.87899652301</v>
      </c>
      <c r="Q17" s="23">
        <f t="shared" si="10"/>
        <v>200.7404700933937</v>
      </c>
      <c r="R17" s="27">
        <f>SUM(pStage3Death*L16*(1-'Life Table - Female'!B71),R16)</f>
        <v>153.75180605116711</v>
      </c>
      <c r="S17" s="19">
        <f t="shared" si="11"/>
        <v>0</v>
      </c>
      <c r="T17" s="23">
        <f t="shared" si="12"/>
        <v>0</v>
      </c>
      <c r="U17" s="199">
        <f>SUM(B16*'Life Table - Female'!B71,U16)</f>
        <v>108.36791739900248</v>
      </c>
      <c r="V17" s="49">
        <f t="shared" si="14"/>
        <v>0</v>
      </c>
      <c r="W17" s="54">
        <v>1.3333333333333333</v>
      </c>
      <c r="X17" s="13">
        <f t="shared" si="15"/>
        <v>1344165.7766127661</v>
      </c>
      <c r="Y17" s="25">
        <f t="shared" si="15"/>
        <v>591.65228850218671</v>
      </c>
    </row>
    <row r="18" spans="1:25" x14ac:dyDescent="0.2">
      <c r="A18" s="10">
        <v>15</v>
      </c>
      <c r="B18" s="15">
        <f t="shared" si="13"/>
        <v>714.13311616808528</v>
      </c>
      <c r="C18" s="27">
        <f>(1-SUM(pHealthyStage1,pHealthyStage2,pHealthyStage3))*C17*(1-'Life Table - Female'!B72)</f>
        <v>249.03614141724276</v>
      </c>
      <c r="D18" s="19">
        <f t="shared" si="2"/>
        <v>0</v>
      </c>
      <c r="E18" s="20">
        <f t="shared" si="1"/>
        <v>106.56454846815721</v>
      </c>
      <c r="F18" s="27">
        <f>SUM(pHealthyStage1*C17,(1-SUM(pStage1Remission,pStage1Stage2))*F17,pStage2Stage1*I17,pRemissionStage1*O17)*(1-'Life Table - Female'!B72)</f>
        <v>116.84645825185096</v>
      </c>
      <c r="G18" s="19">
        <f t="shared" si="3"/>
        <v>79999.248255938481</v>
      </c>
      <c r="H18" s="20">
        <f t="shared" si="4"/>
        <v>43.99958654076616</v>
      </c>
      <c r="I18" s="27">
        <f>SUM(pHealthyStage2*C17,pStage1Stage2*F17,(1-SUM(pStage2Remission, pStage2Stage1, pStage2Stage3))*I17,pStage3Stage2*L17,pRemissionStage2*O17)*(1-'Life Table - Female'!B72)</f>
        <v>75.224225356684698</v>
      </c>
      <c r="J18" s="19">
        <f t="shared" si="5"/>
        <v>231761.1253384857</v>
      </c>
      <c r="K18" s="20">
        <f t="shared" si="6"/>
        <v>22.854222081989558</v>
      </c>
      <c r="L18" s="27">
        <f>SUM(pHealthyStage3*C17,pStage2Stage3*I17,(1-SUM(pStage3Death, pStage3Stage2))*L17)*(1-'Life Table - Female'!B72)</f>
        <v>28.120550498438977</v>
      </c>
      <c r="M18" s="19">
        <f t="shared" si="7"/>
        <v>279165.77484750806</v>
      </c>
      <c r="N18" s="20">
        <f t="shared" si="8"/>
        <v>4.3318827131509865</v>
      </c>
      <c r="O18" s="27">
        <f>SUM(pStage1Remission*F17,pStage2Remission*I17,(1-SUM(pRemissionStage1, pRemissionStage2))*O17)*(1-'Life Table - Female'!B72)</f>
        <v>244.9057406438678</v>
      </c>
      <c r="P18" s="19">
        <f t="shared" si="9"/>
        <v>52398.558539436148</v>
      </c>
      <c r="Q18" s="23">
        <f t="shared" si="10"/>
        <v>99.557261224928666</v>
      </c>
      <c r="R18" s="27">
        <f>SUM(pStage3Death*L17*(1-'Life Table - Female'!B72),R17)</f>
        <v>166.52188685835543</v>
      </c>
      <c r="S18" s="19">
        <f t="shared" si="11"/>
        <v>0</v>
      </c>
      <c r="T18" s="23">
        <f t="shared" si="12"/>
        <v>0</v>
      </c>
      <c r="U18" s="199">
        <f>SUM(B17*'Life Table - Female'!B72,U17)</f>
        <v>119.34499697355963</v>
      </c>
      <c r="V18" s="49">
        <f t="shared" si="14"/>
        <v>0</v>
      </c>
      <c r="W18" s="54">
        <v>0.66666666666666663</v>
      </c>
      <c r="X18" s="13">
        <f t="shared" si="15"/>
        <v>643324.70698136836</v>
      </c>
      <c r="Y18" s="25">
        <f t="shared" si="15"/>
        <v>277.30750102899253</v>
      </c>
    </row>
    <row r="19" spans="1:25" x14ac:dyDescent="0.2">
      <c r="A19" s="10">
        <v>16</v>
      </c>
      <c r="B19" s="15">
        <f t="shared" si="13"/>
        <v>690.02021715401611</v>
      </c>
      <c r="C19" s="27">
        <f>(1-SUM(pHealthyStage1,pHealthyStage2,pHealthyStage3))*C18*(1-'Life Table - Female'!B73)</f>
        <v>225.37068713168057</v>
      </c>
      <c r="D19" s="19">
        <f t="shared" si="2"/>
        <v>0</v>
      </c>
      <c r="E19" s="20">
        <f t="shared" si="1"/>
        <v>187.25808171971116</v>
      </c>
      <c r="F19" s="27">
        <f>SUM(pHealthyStage1*C18,(1-SUM(pStage1Remission,pStage1Stage2))*F18,pStage2Stage1*I18,pRemissionStage1*O18)*(1-'Life Table - Female'!B73)</f>
        <v>114.74825160492657</v>
      </c>
      <c r="G19" s="19">
        <f t="shared" si="3"/>
        <v>152548.94236480354</v>
      </c>
      <c r="H19" s="20">
        <f t="shared" si="4"/>
        <v>83.901918300641952</v>
      </c>
      <c r="I19" s="27">
        <f>SUM(pHealthyStage2*C18,pStage1Stage2*F18,(1-SUM(pStage2Remission, pStage2Stage1, pStage2Stage3))*I18,pStage3Stage2*L18,pRemissionStage2*O18)*(1-'Life Table - Female'!B73)</f>
        <v>74.218723419874934</v>
      </c>
      <c r="J19" s="19">
        <f t="shared" si="5"/>
        <v>444006.28518132167</v>
      </c>
      <c r="K19" s="20">
        <f t="shared" si="6"/>
        <v>43.783953122046995</v>
      </c>
      <c r="L19" s="27">
        <f>SUM(pHealthyStage3*C18,pStage2Stage3*I18,(1-SUM(pStage3Death, pStage3Stage2))*L18)*(1-'Life Table - Female'!B73)</f>
        <v>27.379597897936275</v>
      </c>
      <c r="M19" s="19">
        <f t="shared" si="7"/>
        <v>527786.39611189149</v>
      </c>
      <c r="N19" s="20">
        <f t="shared" si="8"/>
        <v>8.1897889051845247</v>
      </c>
      <c r="O19" s="27">
        <f>SUM(pStage1Remission*F18,pStage2Remission*I18,(1-SUM(pRemissionStage1, pRemissionStage2))*O18)*(1-'Life Table - Female'!B73)</f>
        <v>248.30295709959776</v>
      </c>
      <c r="P19" s="19">
        <f t="shared" si="9"/>
        <v>103156.12918337312</v>
      </c>
      <c r="Q19" s="23">
        <f t="shared" si="10"/>
        <v>195.99664544840894</v>
      </c>
      <c r="R19" s="27">
        <f>SUM(pStage3Death*L18*(1-'Life Table - Female'!B73),R18)</f>
        <v>178.96942755478656</v>
      </c>
      <c r="S19" s="19">
        <f t="shared" si="11"/>
        <v>0</v>
      </c>
      <c r="T19" s="23">
        <f t="shared" si="12"/>
        <v>0</v>
      </c>
      <c r="U19" s="199">
        <f>SUM(B18*'Life Table - Female'!B73,U18)</f>
        <v>131.01035529119764</v>
      </c>
      <c r="V19" s="49">
        <f t="shared" si="14"/>
        <v>0</v>
      </c>
      <c r="W19" s="54">
        <v>1.3333333333333333</v>
      </c>
      <c r="X19" s="13">
        <f t="shared" si="15"/>
        <v>1227497.75284139</v>
      </c>
      <c r="Y19" s="25">
        <f t="shared" si="15"/>
        <v>519.13038749599355</v>
      </c>
    </row>
    <row r="20" spans="1:25" x14ac:dyDescent="0.2">
      <c r="A20" s="10">
        <v>17</v>
      </c>
      <c r="B20" s="15">
        <f t="shared" si="13"/>
        <v>665.58186747091588</v>
      </c>
      <c r="C20" s="27">
        <f>(1-SUM(pHealthyStage1,pHealthyStage2,pHealthyStage3))*C19*(1-'Life Table - Female'!B74)</f>
        <v>203.63369331015807</v>
      </c>
      <c r="D20" s="19">
        <f t="shared" si="2"/>
        <v>0</v>
      </c>
      <c r="E20" s="20">
        <f t="shared" si="1"/>
        <v>82.134488920503998</v>
      </c>
      <c r="F20" s="27">
        <f>SUM(pHealthyStage1*C19,(1-SUM(pStage1Remission,pStage1Stage2))*F19,pStage2Stage1*I19,pRemissionStage1*O19)*(1-'Life Table - Female'!B74)</f>
        <v>112.35068218207448</v>
      </c>
      <c r="G20" s="19">
        <f t="shared" si="3"/>
        <v>72505.611116836444</v>
      </c>
      <c r="H20" s="20">
        <f t="shared" si="4"/>
        <v>39.878086114260043</v>
      </c>
      <c r="I20" s="27">
        <f>SUM(pHealthyStage2*C19,pStage1Stage2*F19,(1-SUM(pStage2Remission, pStage2Stage1, pStage2Stage3))*I19,pStage3Stage2*L19,pRemissionStage2*O19)*(1-'Life Table - Female'!B74)</f>
        <v>72.969130508953896</v>
      </c>
      <c r="J20" s="19">
        <f t="shared" si="5"/>
        <v>211908.11518517064</v>
      </c>
      <c r="K20" s="20">
        <f t="shared" si="6"/>
        <v>20.896494691870988</v>
      </c>
      <c r="L20" s="27">
        <f>SUM(pHealthyStage3*C19,pStage2Stage3*I19,(1-SUM(pStage3Death, pStage3Stage2))*L19)*(1-'Life Table - Female'!B74)</f>
        <v>26.592179229746172</v>
      </c>
      <c r="M20" s="19">
        <f t="shared" si="7"/>
        <v>248838.64916298512</v>
      </c>
      <c r="N20" s="20">
        <f t="shared" si="8"/>
        <v>3.8612893835635616</v>
      </c>
      <c r="O20" s="27">
        <f>SUM(pStage1Remission*F19,pStage2Remission*I19,(1-SUM(pRemissionStage1, pRemissionStage2))*O19)*(1-'Life Table - Female'!B74)</f>
        <v>250.03618223998328</v>
      </c>
      <c r="P20" s="19">
        <f t="shared" si="9"/>
        <v>50425.334103810063</v>
      </c>
      <c r="Q20" s="23">
        <f t="shared" si="10"/>
        <v>95.80813479723912</v>
      </c>
      <c r="R20" s="27">
        <f>SUM(pStage3Death*L19*(1-'Life Table - Female'!B74),R19)</f>
        <v>191.06994553926714</v>
      </c>
      <c r="S20" s="19">
        <f t="shared" si="11"/>
        <v>0</v>
      </c>
      <c r="T20" s="23">
        <f t="shared" si="12"/>
        <v>0</v>
      </c>
      <c r="U20" s="199">
        <f>SUM(B19*'Life Table - Female'!B74,U19)</f>
        <v>143.34818698981726</v>
      </c>
      <c r="V20" s="49">
        <f t="shared" si="14"/>
        <v>0</v>
      </c>
      <c r="W20" s="54">
        <v>0.66666666666666663</v>
      </c>
      <c r="X20" s="13">
        <f t="shared" si="15"/>
        <v>583677.70956880227</v>
      </c>
      <c r="Y20" s="25">
        <f t="shared" si="15"/>
        <v>242.57849390743772</v>
      </c>
    </row>
    <row r="21" spans="1:25" x14ac:dyDescent="0.2">
      <c r="A21" s="10">
        <v>18</v>
      </c>
      <c r="B21" s="15">
        <f t="shared" si="13"/>
        <v>640.79417139953728</v>
      </c>
      <c r="C21" s="27">
        <f>(1-SUM(pHealthyStage1,pHealthyStage2,pHealthyStage3))*C20*(1-'Life Table - Female'!B75)</f>
        <v>183.66810741150334</v>
      </c>
      <c r="D21" s="19">
        <f t="shared" si="2"/>
        <v>0</v>
      </c>
      <c r="E21" s="20">
        <f t="shared" si="1"/>
        <v>143.84754117947369</v>
      </c>
      <c r="F21" s="27">
        <f>SUM(pHealthyStage1*C20,(1-SUM(pStage1Remission,pStage1Stage2))*F20,pStage2Stage1*I20,pRemissionStage1*O20)*(1-'Life Table - Female'!B75)</f>
        <v>109.66744147107764</v>
      </c>
      <c r="G21" s="19">
        <f t="shared" si="3"/>
        <v>137425.20266919531</v>
      </c>
      <c r="H21" s="20">
        <f t="shared" si="4"/>
        <v>75.583861468057421</v>
      </c>
      <c r="I21" s="27">
        <f>SUM(pHealthyStage2*C20,pStage1Stage2*F20,(1-SUM(pStage2Remission, pStage2Stage1, pStage2Stage3))*I20,pStage3Stage2*L20,pRemissionStage2*O20)*(1-'Life Table - Female'!B75)</f>
        <v>71.490238823035511</v>
      </c>
      <c r="J21" s="19">
        <f t="shared" si="5"/>
        <v>403132.61550577235</v>
      </c>
      <c r="K21" s="20">
        <f t="shared" si="6"/>
        <v>39.75335514015255</v>
      </c>
      <c r="L21" s="27">
        <f>SUM(pHealthyStage3*C20,pStage2Stage3*I20,(1-SUM(pStage3Death, pStage3Stage2))*L20)*(1-'Life Table - Female'!B75)</f>
        <v>25.762335057128968</v>
      </c>
      <c r="M21" s="19">
        <f t="shared" si="7"/>
        <v>468103.5136775283</v>
      </c>
      <c r="N21" s="20">
        <f t="shared" si="8"/>
        <v>7.2636752122375077</v>
      </c>
      <c r="O21" s="27">
        <f>SUM(pStage1Remission*F20,pStage2Remission*I20,(1-SUM(pRemissionStage1, pRemissionStage2))*O20)*(1-'Life Table - Female'!B75)</f>
        <v>250.20604863679191</v>
      </c>
      <c r="P21" s="19">
        <f t="shared" si="9"/>
        <v>97979.789174819278</v>
      </c>
      <c r="Q21" s="23">
        <f t="shared" si="10"/>
        <v>186.16159943215661</v>
      </c>
      <c r="R21" s="27">
        <f>SUM(pStage3Death*L20*(1-'Life Table - Female'!B75),R20)</f>
        <v>202.80169361238222</v>
      </c>
      <c r="S21" s="19">
        <f t="shared" si="11"/>
        <v>0</v>
      </c>
      <c r="T21" s="23">
        <f t="shared" si="12"/>
        <v>0</v>
      </c>
      <c r="U21" s="199">
        <f>SUM(B20*'Life Table - Female'!B75,U20)</f>
        <v>156.40413498808073</v>
      </c>
      <c r="V21" s="49">
        <f t="shared" si="14"/>
        <v>0</v>
      </c>
      <c r="W21" s="54">
        <v>1.3333333333333333</v>
      </c>
      <c r="X21" s="13">
        <f t="shared" si="15"/>
        <v>1106641.1210273153</v>
      </c>
      <c r="Y21" s="25">
        <f t="shared" si="15"/>
        <v>452.61003243207779</v>
      </c>
    </row>
    <row r="22" spans="1:25" x14ac:dyDescent="0.2">
      <c r="A22" s="10">
        <v>19</v>
      </c>
      <c r="B22" s="15">
        <f t="shared" si="13"/>
        <v>615.82194951687973</v>
      </c>
      <c r="C22" s="27">
        <f>(1-SUM(pHealthyStage1,pHealthyStage2,pHealthyStage3))*C21*(1-'Life Table - Female'!B76)</f>
        <v>165.3816250508892</v>
      </c>
      <c r="D22" s="19">
        <f t="shared" si="2"/>
        <v>0</v>
      </c>
      <c r="E22" s="20">
        <f t="shared" si="1"/>
        <v>62.876553238647418</v>
      </c>
      <c r="F22" s="27">
        <f>SUM(pHealthyStage1*C21,(1-SUM(pStage1Remission,pStage1Stage2))*F21,pStage2Stage1*I21,pRemissionStage1*O21)*(1-'Life Table - Female'!B76)</f>
        <v>106.74328512439148</v>
      </c>
      <c r="G22" s="19">
        <f t="shared" si="3"/>
        <v>64932.484226604443</v>
      </c>
      <c r="H22" s="20">
        <f t="shared" si="4"/>
        <v>35.712866324632451</v>
      </c>
      <c r="I22" s="27">
        <f>SUM(pHealthyStage2*C21,pStage1Stage2*F21,(1-SUM(pStage2Remission, pStage2Stage1, pStage2Stage3))*I21,pStage3Stage2*L21,pRemissionStage2*O21)*(1-'Life Table - Female'!B76)</f>
        <v>69.815869216831899</v>
      </c>
      <c r="J22" s="19">
        <f t="shared" si="5"/>
        <v>191112.07038762263</v>
      </c>
      <c r="K22" s="20">
        <f t="shared" si="6"/>
        <v>18.845773607668338</v>
      </c>
      <c r="L22" s="27">
        <f>SUM(pHealthyStage3*C21,pStage2Stage3*I21,(1-SUM(pStage3Death, pStage3Stage2))*L21)*(1-'Life Table - Female'!B76)</f>
        <v>24.900405358746244</v>
      </c>
      <c r="M22" s="19">
        <f t="shared" si="7"/>
        <v>219632.13008177443</v>
      </c>
      <c r="N22" s="20">
        <f t="shared" si="8"/>
        <v>3.4080847771309828</v>
      </c>
      <c r="O22" s="27">
        <f>SUM(pStage1Remission*F21,pStage2Remission*I21,(1-SUM(pRemissionStage1, pRemissionStage2))*O21)*(1-'Life Table - Female'!B76)</f>
        <v>248.98076476602088</v>
      </c>
      <c r="P22" s="19">
        <f t="shared" si="9"/>
        <v>47330.083697002861</v>
      </c>
      <c r="Q22" s="23">
        <f t="shared" si="10"/>
        <v>89.927159024305425</v>
      </c>
      <c r="R22" s="27">
        <f>SUM(pStage3Death*L21*(1-'Life Table - Female'!B76),R21)</f>
        <v>214.14823273244355</v>
      </c>
      <c r="S22" s="19">
        <f t="shared" si="11"/>
        <v>0</v>
      </c>
      <c r="T22" s="23">
        <f t="shared" si="12"/>
        <v>0</v>
      </c>
      <c r="U22" s="199">
        <f>SUM(B21*'Life Table - Female'!B76,U21)</f>
        <v>170.02981775067707</v>
      </c>
      <c r="V22" s="49">
        <f t="shared" si="14"/>
        <v>0</v>
      </c>
      <c r="W22" s="54">
        <v>0.66666666666666663</v>
      </c>
      <c r="X22" s="13">
        <f t="shared" si="15"/>
        <v>523006.76839300437</v>
      </c>
      <c r="Y22" s="25">
        <f t="shared" si="15"/>
        <v>210.77043697238463</v>
      </c>
    </row>
    <row r="23" spans="1:25" x14ac:dyDescent="0.2">
      <c r="A23" s="10">
        <v>20</v>
      </c>
      <c r="B23" s="15">
        <f t="shared" si="13"/>
        <v>590.10968077724874</v>
      </c>
      <c r="C23" s="27">
        <f>(1-SUM(pHealthyStage1,pHealthyStage2,pHealthyStage3))*C22*(1-'Life Table - Female'!B77)</f>
        <v>148.50040391342336</v>
      </c>
      <c r="D23" s="19">
        <f t="shared" si="2"/>
        <v>0</v>
      </c>
      <c r="E23" s="20">
        <f t="shared" si="1"/>
        <v>109.62809751165339</v>
      </c>
      <c r="F23" s="27">
        <f>SUM(pHealthyStage1*C22,(1-SUM(pStage1Remission,pStage1Stage2))*F22,pStage2Stage1*I22,pRemissionStage1*O22)*(1-'Life Table - Female'!B77)</f>
        <v>103.49675219174652</v>
      </c>
      <c r="G23" s="19">
        <f t="shared" si="3"/>
        <v>122247.77029461648</v>
      </c>
      <c r="H23" s="20">
        <f t="shared" si="4"/>
        <v>67.236273662039054</v>
      </c>
      <c r="I23" s="27">
        <f>SUM(pHealthyStage2*C22,pStage1Stage2*F22,(1-SUM(pStage2Remission, pStage2Stage1, pStage2Stage3))*I22,pStage3Stage2*L22,pRemissionStage2*O22)*(1-'Life Table - Female'!B77)</f>
        <v>67.896395626804591</v>
      </c>
      <c r="J23" s="19">
        <f t="shared" si="5"/>
        <v>360888.84532996611</v>
      </c>
      <c r="K23" s="20">
        <f t="shared" si="6"/>
        <v>35.587650025593881</v>
      </c>
      <c r="L23" s="27">
        <f>SUM(pHealthyStage3*C22,pStage2Stage3*I22,(1-SUM(pStage3Death, pStage3Stage2))*L22)*(1-'Life Table - Female'!B77)</f>
        <v>23.986716779836375</v>
      </c>
      <c r="M23" s="19">
        <f t="shared" si="7"/>
        <v>410821.37770919217</v>
      </c>
      <c r="N23" s="20">
        <f t="shared" si="8"/>
        <v>6.3748144816943606</v>
      </c>
      <c r="O23" s="27">
        <f>SUM(pStage1Remission*F22,pStage2Remission*I22,(1-SUM(pRemissionStage1, pRemissionStage2))*O22)*(1-'Life Table - Female'!B77)</f>
        <v>246.22941226543793</v>
      </c>
      <c r="P23" s="19">
        <f t="shared" si="9"/>
        <v>90887.503692616228</v>
      </c>
      <c r="Q23" s="23">
        <f t="shared" si="10"/>
        <v>172.68625701597082</v>
      </c>
      <c r="R23" s="27">
        <f>SUM(pStage3Death*L22*(1-'Life Table - Female'!B77),R22)</f>
        <v>225.08455963505168</v>
      </c>
      <c r="S23" s="19">
        <f t="shared" si="11"/>
        <v>0</v>
      </c>
      <c r="T23" s="23">
        <f t="shared" si="12"/>
        <v>0</v>
      </c>
      <c r="U23" s="199">
        <f>SUM(B22*'Life Table - Female'!B77,U22)</f>
        <v>184.80575958769984</v>
      </c>
      <c r="V23" s="49">
        <f t="shared" si="14"/>
        <v>0</v>
      </c>
      <c r="W23" s="54">
        <v>1.3333333333333333</v>
      </c>
      <c r="X23" s="13">
        <f t="shared" si="15"/>
        <v>984845.49702639098</v>
      </c>
      <c r="Y23" s="25">
        <f t="shared" si="15"/>
        <v>391.5130926969515</v>
      </c>
    </row>
    <row r="24" spans="1:25" x14ac:dyDescent="0.2">
      <c r="A24" s="10">
        <v>21</v>
      </c>
      <c r="B24" s="15">
        <f t="shared" si="13"/>
        <v>564.0159668180446</v>
      </c>
      <c r="C24" s="27">
        <f>(1-SUM(pHealthyStage1,pHealthyStage2,pHealthyStage3))*C23*(1-'Life Table - Female'!B78)</f>
        <v>133.01223587004787</v>
      </c>
      <c r="D24" s="19">
        <f t="shared" si="2"/>
        <v>0</v>
      </c>
      <c r="E24" s="20">
        <f t="shared" si="1"/>
        <v>47.667087385993163</v>
      </c>
      <c r="F24" s="27">
        <f>SUM(pHealthyStage1*C23,(1-SUM(pStage1Remission,pStage1Stage2))*F23,pStage2Stage1*I23,pRemissionStage1*O23)*(1-'Life Table - Female'!B78)</f>
        <v>100.00295550803455</v>
      </c>
      <c r="G24" s="19">
        <f t="shared" si="3"/>
        <v>57340.284076917575</v>
      </c>
      <c r="H24" s="20">
        <f t="shared" si="4"/>
        <v>31.537156242304665</v>
      </c>
      <c r="I24" s="27">
        <f>SUM(pHealthyStage2*C23,pStage1Stage2*F23,(1-SUM(pStage2Remission, pStage2Stage1, pStage2Stage3))*I23,pStage3Stage2*L23,pRemissionStage2*O23)*(1-'Life Table - Female'!B78)</f>
        <v>65.783851703248402</v>
      </c>
      <c r="J24" s="19">
        <f t="shared" si="5"/>
        <v>169737.89687803376</v>
      </c>
      <c r="K24" s="20">
        <f t="shared" si="6"/>
        <v>16.738042608806104</v>
      </c>
      <c r="L24" s="27">
        <f>SUM(pHealthyStage3*C23,pStage2Stage3*I23,(1-SUM(pStage3Death, pStage3Stage2))*L23)*(1-'Life Table - Female'!B78)</f>
        <v>23.037888084787301</v>
      </c>
      <c r="M24" s="19">
        <f t="shared" si="7"/>
        <v>191539.20090404901</v>
      </c>
      <c r="N24" s="20">
        <f t="shared" si="8"/>
        <v>2.9721600140283471</v>
      </c>
      <c r="O24" s="27">
        <f>SUM(pStage1Remission*F23,pStage2Remission*I23,(1-SUM(pRemissionStage1, pRemissionStage2))*O23)*(1-'Life Table - Female'!B78)</f>
        <v>242.17903565192648</v>
      </c>
      <c r="P24" s="19">
        <f t="shared" si="9"/>
        <v>43394.388418349416</v>
      </c>
      <c r="Q24" s="23">
        <f t="shared" si="10"/>
        <v>82.449337994863896</v>
      </c>
      <c r="R24" s="27">
        <f>SUM(pStage3Death*L23*(1-'Life Table - Female'!B78),R23)</f>
        <v>235.59351270487895</v>
      </c>
      <c r="S24" s="19">
        <f t="shared" si="11"/>
        <v>0</v>
      </c>
      <c r="T24" s="23">
        <f t="shared" si="12"/>
        <v>0</v>
      </c>
      <c r="U24" s="199">
        <f>SUM(B23*'Life Table - Female'!B78,U23)</f>
        <v>200.39052047707679</v>
      </c>
      <c r="V24" s="49">
        <f t="shared" si="14"/>
        <v>0</v>
      </c>
      <c r="W24" s="54">
        <v>0.66666666666666663</v>
      </c>
      <c r="X24" s="13">
        <f t="shared" si="15"/>
        <v>462011.77027734974</v>
      </c>
      <c r="Y24" s="25">
        <f t="shared" si="15"/>
        <v>181.36378424599616</v>
      </c>
    </row>
    <row r="25" spans="1:25" x14ac:dyDescent="0.2">
      <c r="A25" s="10">
        <v>22</v>
      </c>
      <c r="B25" s="15">
        <f t="shared" si="13"/>
        <v>537.35076762933966</v>
      </c>
      <c r="C25" s="27">
        <f>(1-SUM(pHealthyStage1,pHealthyStage2,pHealthyStage3))*C24*(1-'Life Table - Female'!B79)</f>
        <v>118.76892890876988</v>
      </c>
      <c r="D25" s="19">
        <f t="shared" si="2"/>
        <v>0</v>
      </c>
      <c r="E25" s="20">
        <f t="shared" si="1"/>
        <v>82.646151113791902</v>
      </c>
      <c r="F25" s="27">
        <f>SUM(pHealthyStage1*C24,(1-SUM(pStage1Remission,pStage1Stage2))*F24,pStage2Stage1*I24,pRemissionStage1*O24)*(1-'Life Table - Female'!B79)</f>
        <v>96.240597823868129</v>
      </c>
      <c r="G25" s="19">
        <f t="shared" si="3"/>
        <v>107151.45874076511</v>
      </c>
      <c r="H25" s="20">
        <f t="shared" si="4"/>
        <v>58.933302307420817</v>
      </c>
      <c r="I25" s="27">
        <f>SUM(pHealthyStage2*C24,pStage1Stage2*F24,(1-SUM(pStage2Remission, pStage2Stage1, pStage2Stage3))*I24,pStage3Stage2*L24,pRemissionStage2*O24)*(1-'Life Table - Female'!B79)</f>
        <v>63.466716443389373</v>
      </c>
      <c r="J25" s="19">
        <f t="shared" si="5"/>
        <v>317978.91232748533</v>
      </c>
      <c r="K25" s="20">
        <f t="shared" si="6"/>
        <v>31.356253854515916</v>
      </c>
      <c r="L25" s="27">
        <f>SUM(pHealthyStage3*C24,pStage2Stage3*I24,(1-SUM(pStage3Death, pStage3Stage2))*L24)*(1-'Life Table - Female'!B79)</f>
        <v>22.047918449256816</v>
      </c>
      <c r="M25" s="19">
        <f t="shared" si="7"/>
        <v>355938.8327076268</v>
      </c>
      <c r="N25" s="20">
        <f t="shared" si="8"/>
        <v>5.5231887833942084</v>
      </c>
      <c r="O25" s="27">
        <f>SUM(pStage1Remission*F24,pStage2Remission*I24,(1-SUM(pRemissionStage1, pRemissionStage2))*O24)*(1-'Life Table - Female'!B79)</f>
        <v>236.82660600405549</v>
      </c>
      <c r="P25" s="19">
        <f t="shared" si="9"/>
        <v>82398.686455327508</v>
      </c>
      <c r="Q25" s="23">
        <f t="shared" si="10"/>
        <v>156.55750426512225</v>
      </c>
      <c r="R25" s="27">
        <f>SUM(pStage3Death*L24*(1-'Life Table - Female'!B79),R24)</f>
        <v>245.65538026797154</v>
      </c>
      <c r="S25" s="19">
        <f t="shared" si="11"/>
        <v>0</v>
      </c>
      <c r="T25" s="23">
        <f t="shared" si="12"/>
        <v>0</v>
      </c>
      <c r="U25" s="199">
        <f>SUM(B24*'Life Table - Female'!B79,U24)</f>
        <v>216.99385210268912</v>
      </c>
      <c r="V25" s="49">
        <f t="shared" si="14"/>
        <v>0</v>
      </c>
      <c r="W25" s="54">
        <v>1.3333333333333333</v>
      </c>
      <c r="X25" s="13">
        <f t="shared" si="15"/>
        <v>863467.8902312048</v>
      </c>
      <c r="Y25" s="25">
        <f t="shared" si="15"/>
        <v>335.01640032424507</v>
      </c>
    </row>
    <row r="26" spans="1:25" x14ac:dyDescent="0.2">
      <c r="A26" s="10">
        <v>23</v>
      </c>
      <c r="B26" s="15">
        <f t="shared" si="13"/>
        <v>510.2979809422107</v>
      </c>
      <c r="C26" s="27">
        <f>(1-SUM(pHealthyStage1,pHealthyStage2,pHealthyStage3))*C25*(1-'Life Table - Female'!B80)</f>
        <v>105.71834208968222</v>
      </c>
      <c r="D26" s="19">
        <f t="shared" si="2"/>
        <v>0</v>
      </c>
      <c r="E26" s="20">
        <f t="shared" si="1"/>
        <v>35.711074396339775</v>
      </c>
      <c r="F26" s="27">
        <f>SUM(pHealthyStage1*C25,(1-SUM(pStage1Remission,pStage1Stage2))*F25,pStage2Stage1*I25,pRemissionStage1*O25)*(1-'Life Table - Female'!B80)</f>
        <v>92.25377808566175</v>
      </c>
      <c r="G26" s="19">
        <f t="shared" si="3"/>
        <v>49860.50999196693</v>
      </c>
      <c r="H26" s="20">
        <f t="shared" si="4"/>
        <v>27.423280495581814</v>
      </c>
      <c r="I26" s="27">
        <f>SUM(pHealthyStage2*C25,pStage1Stage2*F25,(1-SUM(pStage2Remission, pStage2Stage1, pStage2Stage3))*I25,pStage3Stage2*L25,pRemissionStage2*O25)*(1-'Life Table - Female'!B80)</f>
        <v>60.976162518366429</v>
      </c>
      <c r="J26" s="19">
        <f t="shared" si="5"/>
        <v>148301.36831502864</v>
      </c>
      <c r="K26" s="20">
        <f t="shared" si="6"/>
        <v>14.624162708843102</v>
      </c>
      <c r="L26" s="27">
        <f>SUM(pHealthyStage3*C25,pStage2Stage3*I25,(1-SUM(pStage3Death, pStage3Stage2))*L25)*(1-'Life Table - Female'!B80)</f>
        <v>21.02579849249339</v>
      </c>
      <c r="M26" s="19">
        <f t="shared" si="7"/>
        <v>164775.6583511816</v>
      </c>
      <c r="N26" s="20">
        <f t="shared" si="8"/>
        <v>2.5568636640700593</v>
      </c>
      <c r="O26" s="27">
        <f>SUM(pStage1Remission*F25,pStage2Remission*I25,(1-SUM(pRemissionStage1, pRemissionStage2))*O25)*(1-'Life Table - Female'!B80)</f>
        <v>230.32389975600694</v>
      </c>
      <c r="P26" s="19">
        <f t="shared" si="9"/>
        <v>38901.07315750562</v>
      </c>
      <c r="Q26" s="23">
        <f t="shared" si="10"/>
        <v>73.912038999260687</v>
      </c>
      <c r="R26" s="27">
        <f>SUM(pStage3Death*L25*(1-'Life Table - Female'!B80),R25)</f>
        <v>255.25468512130078</v>
      </c>
      <c r="S26" s="19">
        <f t="shared" si="11"/>
        <v>0</v>
      </c>
      <c r="T26" s="23">
        <f t="shared" si="12"/>
        <v>0</v>
      </c>
      <c r="U26" s="199">
        <f>SUM(B25*'Life Table - Female'!B80,U25)</f>
        <v>234.44733393648886</v>
      </c>
      <c r="V26" s="49">
        <f t="shared" si="14"/>
        <v>0</v>
      </c>
      <c r="W26" s="54">
        <v>0.66666666666666663</v>
      </c>
      <c r="X26" s="13">
        <f t="shared" si="15"/>
        <v>401838.60981568275</v>
      </c>
      <c r="Y26" s="25">
        <f t="shared" si="15"/>
        <v>154.22742026409543</v>
      </c>
    </row>
    <row r="27" spans="1:25" x14ac:dyDescent="0.2">
      <c r="A27" s="10">
        <v>24</v>
      </c>
      <c r="B27" s="15">
        <f t="shared" si="13"/>
        <v>482.57490763169784</v>
      </c>
      <c r="C27" s="27">
        <f>(1-SUM(pHealthyStage1,pHealthyStage2,pHealthyStage3))*C26*(1-'Life Table - Female'!B81)</f>
        <v>93.714554882504871</v>
      </c>
      <c r="D27" s="19">
        <f t="shared" si="2"/>
        <v>0</v>
      </c>
      <c r="E27" s="20">
        <f t="shared" si="1"/>
        <v>61.46846817699285</v>
      </c>
      <c r="F27" s="27">
        <f>SUM(pHealthyStage1*C26,(1-SUM(pStage1Remission,pStage1Stage2))*F26,pStage2Stage1*I26,pRemissionStage1*O26)*(1-'Life Table - Female'!B81)</f>
        <v>88.00192678804666</v>
      </c>
      <c r="G27" s="19">
        <f t="shared" si="3"/>
        <v>92354.382186495481</v>
      </c>
      <c r="H27" s="20">
        <f t="shared" si="4"/>
        <v>50.79491020257251</v>
      </c>
      <c r="I27" s="27">
        <f>SUM(pHealthyStage2*C26,pStage1Stage2*F26,(1-SUM(pStage2Remission, pStage2Stage1, pStage2Stage3))*I26,pStage3Stage2*L26,pRemissionStage2*O26)*(1-'Life Table - Female'!B81)</f>
        <v>58.287237806936211</v>
      </c>
      <c r="J27" s="19">
        <f t="shared" si="5"/>
        <v>275265.20328264619</v>
      </c>
      <c r="K27" s="20">
        <f t="shared" si="6"/>
        <v>27.144207545927607</v>
      </c>
      <c r="L27" s="27">
        <f>SUM(pHealthyStage3*C26,pStage2Stage3*I26,(1-SUM(pStage3Death, pStage3Stage2))*L26)*(1-'Life Table - Female'!B81)</f>
        <v>19.961143080113171</v>
      </c>
      <c r="M27" s="19">
        <f t="shared" si="7"/>
        <v>303751.71329410223</v>
      </c>
      <c r="N27" s="20">
        <f t="shared" si="8"/>
        <v>4.7133886545636559</v>
      </c>
      <c r="O27" s="27">
        <f>SUM(pStage1Remission*F26,pStage2Remission*I26,(1-SUM(pRemissionStage1, pRemissionStage2))*O26)*(1-'Life Table - Female'!B81)</f>
        <v>222.61004507409694</v>
      </c>
      <c r="P27" s="19">
        <f t="shared" si="9"/>
        <v>73006.260813338071</v>
      </c>
      <c r="Q27" s="23">
        <f t="shared" si="10"/>
        <v>138.71189554534232</v>
      </c>
      <c r="R27" s="27">
        <f>SUM(pStage3Death*L26*(1-'Life Table - Female'!B81),R26)</f>
        <v>264.37130584446163</v>
      </c>
      <c r="S27" s="19">
        <f t="shared" si="11"/>
        <v>0</v>
      </c>
      <c r="T27" s="23">
        <f t="shared" si="12"/>
        <v>0</v>
      </c>
      <c r="U27" s="199">
        <f>SUM(B26*'Life Table - Female'!B81,U26)</f>
        <v>253.05378652384084</v>
      </c>
      <c r="V27" s="49">
        <f t="shared" si="14"/>
        <v>0</v>
      </c>
      <c r="W27" s="54">
        <v>1.3333333333333333</v>
      </c>
      <c r="X27" s="13">
        <f t="shared" si="15"/>
        <v>744377.55957658205</v>
      </c>
      <c r="Y27" s="25">
        <f t="shared" si="15"/>
        <v>282.83287012539893</v>
      </c>
    </row>
    <row r="28" spans="1:25" x14ac:dyDescent="0.2">
      <c r="A28" s="10">
        <v>25</v>
      </c>
      <c r="B28" s="15">
        <f t="shared" si="13"/>
        <v>454.40267968641103</v>
      </c>
      <c r="C28" s="27">
        <f>(1-SUM(pHealthyStage1,pHealthyStage2,pHealthyStage3))*C27*(1-'Life Table - Female'!B82)</f>
        <v>82.723907380772104</v>
      </c>
      <c r="D28" s="19">
        <f t="shared" si="2"/>
        <v>0</v>
      </c>
      <c r="E28" s="20">
        <f t="shared" si="1"/>
        <v>26.339599250761648</v>
      </c>
      <c r="F28" s="27">
        <f>SUM(pHealthyStage1*C27,(1-SUM(pStage1Remission,pStage1Stage2))*F27,pStage2Stage1*I27,pRemissionStage1*O27)*(1-'Life Table - Female'!B82)</f>
        <v>83.534626269758277</v>
      </c>
      <c r="G28" s="19">
        <f t="shared" si="3"/>
        <v>42556.376248136417</v>
      </c>
      <c r="H28" s="20">
        <f t="shared" si="4"/>
        <v>23.406006936475027</v>
      </c>
      <c r="I28" s="27">
        <f>SUM(pHealthyStage2*C27,pStage1Stage2*F27,(1-SUM(pStage2Remission, pStage2Stage1, pStage2Stage3))*I27,pStage3Stage2*L27,pRemissionStage2*O27)*(1-'Life Table - Female'!B82)</f>
        <v>55.434357757657047</v>
      </c>
      <c r="J28" s="19">
        <f t="shared" si="5"/>
        <v>127083.63836880139</v>
      </c>
      <c r="K28" s="20">
        <f t="shared" si="6"/>
        <v>12.531858783590138</v>
      </c>
      <c r="L28" s="27">
        <f>SUM(pHealthyStage3*C27,pStage2Stage3*I27,(1-SUM(pStage3Death, pStage3Stage2))*L27)*(1-'Life Table - Female'!B82)</f>
        <v>18.864157419565331</v>
      </c>
      <c r="M28" s="19">
        <f t="shared" si="7"/>
        <v>139348.89207860202</v>
      </c>
      <c r="N28" s="20">
        <f t="shared" si="8"/>
        <v>2.1623103943231343</v>
      </c>
      <c r="O28" s="27">
        <f>SUM(pStage1Remission*F27,pStage2Remission*I27,(1-SUM(pRemissionStage1, pRemissionStage2))*O27)*(1-'Life Table - Female'!B82)</f>
        <v>213.84563085865832</v>
      </c>
      <c r="P28" s="19">
        <f t="shared" si="9"/>
        <v>34044.621420122741</v>
      </c>
      <c r="Q28" s="23">
        <f t="shared" si="10"/>
        <v>64.684780698233212</v>
      </c>
      <c r="R28" s="27">
        <f>SUM(pStage3Death*L27*(1-'Life Table - Female'!B82),R27)</f>
        <v>272.9898534933597</v>
      </c>
      <c r="S28" s="19">
        <f t="shared" si="11"/>
        <v>0</v>
      </c>
      <c r="T28" s="23">
        <f t="shared" si="12"/>
        <v>0</v>
      </c>
      <c r="U28" s="199">
        <f>SUM(B27*'Life Table - Female'!B82,U27)</f>
        <v>272.60746682022949</v>
      </c>
      <c r="V28" s="49">
        <f t="shared" si="14"/>
        <v>0</v>
      </c>
      <c r="W28" s="54">
        <v>0.66666666666666663</v>
      </c>
      <c r="X28" s="13">
        <f t="shared" si="15"/>
        <v>343033.52811566257</v>
      </c>
      <c r="Y28" s="25">
        <f t="shared" si="15"/>
        <v>129.12455606338315</v>
      </c>
    </row>
    <row r="29" spans="1:25" x14ac:dyDescent="0.2">
      <c r="A29" s="10">
        <v>26</v>
      </c>
      <c r="B29" s="15">
        <f t="shared" si="13"/>
        <v>425.67300792720471</v>
      </c>
      <c r="C29" s="27">
        <f>(1-SUM(pHealthyStage1,pHealthyStage2,pHealthyStage3))*C28*(1-'Life Table - Female'!B83)</f>
        <v>72.651411732250622</v>
      </c>
      <c r="D29" s="19">
        <f t="shared" si="2"/>
        <v>0</v>
      </c>
      <c r="E29" s="20">
        <f t="shared" si="1"/>
        <v>44.917435414944684</v>
      </c>
      <c r="F29" s="27">
        <f>SUM(pHealthyStage1*C28,(1-SUM(pStage1Remission,pStage1Stage2))*F28,pStage2Stage1*I28,pRemissionStage1*O28)*(1-'Life Table - Female'!B83)</f>
        <v>78.841080874147778</v>
      </c>
      <c r="G29" s="19">
        <f t="shared" si="3"/>
        <v>77990.81281470941</v>
      </c>
      <c r="H29" s="20">
        <f t="shared" si="4"/>
        <v>42.894947048090181</v>
      </c>
      <c r="I29" s="27">
        <f>SUM(pHealthyStage2*C28,pStage1Stage2*F28,(1-SUM(pStage2Remission, pStage2Stage1, pStage2Stage3))*I28,pStage3Stage2*L28,pRemissionStage2*O28)*(1-'Life Table - Female'!B83)</f>
        <v>52.411855053626105</v>
      </c>
      <c r="J29" s="19">
        <f t="shared" si="5"/>
        <v>233309.76809892058</v>
      </c>
      <c r="K29" s="20">
        <f t="shared" si="6"/>
        <v>23.006935465310221</v>
      </c>
      <c r="L29" s="27">
        <f>SUM(pHealthyStage3*C28,pStage2Stage3*I28,(1-SUM(pStage3Death, pStage3Stage2))*L28)*(1-'Life Table - Female'!B83)</f>
        <v>17.731343983353337</v>
      </c>
      <c r="M29" s="19">
        <f t="shared" si="7"/>
        <v>254331.72346549583</v>
      </c>
      <c r="N29" s="20">
        <f t="shared" si="8"/>
        <v>3.9465267434301077</v>
      </c>
      <c r="O29" s="27">
        <f>SUM(pStage1Remission*F28,pStage2Remission*I28,(1-SUM(pRemissionStage1, pRemissionStage2))*O28)*(1-'Life Table - Female'!B83)</f>
        <v>204.0373162838269</v>
      </c>
      <c r="P29" s="19">
        <f t="shared" si="9"/>
        <v>63074.018507675355</v>
      </c>
      <c r="Q29" s="23">
        <f t="shared" si="10"/>
        <v>119.84063516458316</v>
      </c>
      <c r="R29" s="27">
        <f>SUM(pStage3Death*L28*(1-'Life Table - Female'!B83),R28)</f>
        <v>281.09339976656861</v>
      </c>
      <c r="S29" s="19">
        <f t="shared" si="11"/>
        <v>0</v>
      </c>
      <c r="T29" s="23">
        <f t="shared" si="12"/>
        <v>0</v>
      </c>
      <c r="U29" s="199">
        <f>SUM(B28*'Life Table - Female'!B83,U28)</f>
        <v>293.23359230622691</v>
      </c>
      <c r="V29" s="49">
        <f t="shared" si="14"/>
        <v>0</v>
      </c>
      <c r="W29" s="54">
        <v>1.3333333333333333</v>
      </c>
      <c r="X29" s="13">
        <f t="shared" si="15"/>
        <v>628706.32288680121</v>
      </c>
      <c r="Y29" s="25">
        <f t="shared" si="15"/>
        <v>234.60647983635835</v>
      </c>
    </row>
    <row r="30" spans="1:25" x14ac:dyDescent="0.2">
      <c r="A30" s="10">
        <v>27</v>
      </c>
      <c r="B30" s="15">
        <f t="shared" si="13"/>
        <v>396.60509057132572</v>
      </c>
      <c r="C30" s="27">
        <f>(1-SUM(pHealthyStage1,pHealthyStage2,pHealthyStage3))*C29*(1-'Life Table - Female'!B84)</f>
        <v>63.464671025469102</v>
      </c>
      <c r="D30" s="19">
        <f t="shared" si="2"/>
        <v>0</v>
      </c>
      <c r="E30" s="20">
        <f t="shared" si="1"/>
        <v>19.047400215617639</v>
      </c>
      <c r="F30" s="27">
        <f>SUM(pHealthyStage1*C29,(1-SUM(pStage1Remission,pStage1Stage2))*F29,pStage2Stage1*I29,pRemissionStage1*O29)*(1-'Life Table - Female'!B84)</f>
        <v>73.970347962161568</v>
      </c>
      <c r="G30" s="19">
        <f t="shared" si="3"/>
        <v>35520.683843982748</v>
      </c>
      <c r="H30" s="20">
        <f t="shared" si="4"/>
        <v>19.536376114190514</v>
      </c>
      <c r="I30" s="27">
        <f>SUM(pHealthyStage2*C29,pStage1Stage2*F29,(1-SUM(pStage2Remission, pStage2Stage1, pStage2Stage3))*I29,pStage3Stage2*L29,pRemissionStage2*O29)*(1-'Life Table - Female'!B84)</f>
        <v>49.253699262024298</v>
      </c>
      <c r="J30" s="19">
        <f t="shared" si="5"/>
        <v>106432.68654590644</v>
      </c>
      <c r="K30" s="20">
        <f t="shared" si="6"/>
        <v>10.495445478832441</v>
      </c>
      <c r="L30" s="27">
        <f>SUM(pHealthyStage3*C29,pStage2Stage3*I29,(1-SUM(pStage3Death, pStage3Stage2))*L29)*(1-'Life Table - Female'!B84)</f>
        <v>16.572736797615022</v>
      </c>
      <c r="M30" s="19">
        <f t="shared" si="7"/>
        <v>115394.70782970873</v>
      </c>
      <c r="N30" s="20">
        <f t="shared" si="8"/>
        <v>1.7906075352885837</v>
      </c>
      <c r="O30" s="27">
        <f>SUM(pStage1Remission*F29,pStage2Remission*I29,(1-SUM(pRemissionStage1, pRemissionStage2))*O29)*(1-'Life Table - Female'!B84)</f>
        <v>193.34363552405571</v>
      </c>
      <c r="P30" s="19">
        <f t="shared" si="9"/>
        <v>29013.729571617012</v>
      </c>
      <c r="Q30" s="23">
        <f t="shared" si="10"/>
        <v>55.126086186072321</v>
      </c>
      <c r="R30" s="27">
        <f>SUM(pStage3Death*L29*(1-'Life Table - Female'!B84),R29)</f>
        <v>288.66965011439964</v>
      </c>
      <c r="S30" s="19">
        <f t="shared" si="11"/>
        <v>0</v>
      </c>
      <c r="T30" s="23">
        <f t="shared" si="12"/>
        <v>0</v>
      </c>
      <c r="U30" s="199">
        <f>SUM(B29*'Life Table - Female'!B84,U29)</f>
        <v>314.72525931427492</v>
      </c>
      <c r="V30" s="49">
        <f t="shared" si="14"/>
        <v>0</v>
      </c>
      <c r="W30" s="54">
        <v>0.66666666666666663</v>
      </c>
      <c r="X30" s="13">
        <f t="shared" si="15"/>
        <v>286361.80779121496</v>
      </c>
      <c r="Y30" s="25">
        <f t="shared" si="15"/>
        <v>105.9959155300015</v>
      </c>
    </row>
    <row r="31" spans="1:25" x14ac:dyDescent="0.2">
      <c r="A31" s="10">
        <v>28</v>
      </c>
      <c r="B31" s="15">
        <f t="shared" si="13"/>
        <v>367.19043873726707</v>
      </c>
      <c r="C31" s="27">
        <f>(1-SUM(pHealthyStage1,pHealthyStage2,pHealthyStage3))*C30*(1-'Life Table - Female'!B85)</f>
        <v>55.093090752859403</v>
      </c>
      <c r="D31" s="19">
        <f t="shared" si="2"/>
        <v>0</v>
      </c>
      <c r="E31" s="20">
        <f t="shared" si="1"/>
        <v>32.106545637844512</v>
      </c>
      <c r="F31" s="27">
        <f>SUM(pHealthyStage1*C30,(1-SUM(pStage1Remission,pStage1Stage2))*F30,pStage2Stage1*I30,pRemissionStage1*O30)*(1-'Life Table - Female'!B85)</f>
        <v>68.929240159106584</v>
      </c>
      <c r="G31" s="19">
        <f t="shared" si="3"/>
        <v>64271.719439459863</v>
      </c>
      <c r="H31" s="20">
        <f t="shared" si="4"/>
        <v>35.349445691702925</v>
      </c>
      <c r="I31" s="27">
        <f>SUM(pHealthyStage2*C30,pStage1Stage2*F30,(1-SUM(pStage2Remission, pStage2Stage1, pStage2Stage3))*I30,pStage3Stage2*L30,pRemissionStage2*O30)*(1-'Life Table - Female'!B85)</f>
        <v>45.9657483297756</v>
      </c>
      <c r="J31" s="19">
        <f t="shared" si="5"/>
        <v>192869.37635546143</v>
      </c>
      <c r="K31" s="20">
        <f t="shared" si="6"/>
        <v>19.019063501719113</v>
      </c>
      <c r="L31" s="27">
        <f>SUM(pHealthyStage3*C30,pStage2Stage3*I30,(1-SUM(pStage3Death, pStage3Stage2))*L30)*(1-'Life Table - Female'!B85)</f>
        <v>15.388860875979756</v>
      </c>
      <c r="M31" s="19">
        <f t="shared" si="7"/>
        <v>208061.10619015901</v>
      </c>
      <c r="N31" s="20">
        <f t="shared" si="8"/>
        <v>3.2285344063990191</v>
      </c>
      <c r="O31" s="27">
        <f>SUM(pStage1Remission*F30,pStage2Remission*I30,(1-SUM(pRemissionStage1, pRemissionStage2))*O30)*(1-'Life Table - Female'!B85)</f>
        <v>181.81349861954573</v>
      </c>
      <c r="P31" s="19">
        <f t="shared" si="9"/>
        <v>52977.635772791131</v>
      </c>
      <c r="Q31" s="23">
        <f t="shared" si="10"/>
        <v>100.65750796830315</v>
      </c>
      <c r="R31" s="27">
        <f>SUM(pStage3Death*L30*(1-'Life Table - Female'!B85),R30)</f>
        <v>295.70659295799692</v>
      </c>
      <c r="S31" s="19">
        <f t="shared" si="11"/>
        <v>0</v>
      </c>
      <c r="T31" s="23">
        <f t="shared" si="12"/>
        <v>0</v>
      </c>
      <c r="U31" s="199">
        <f>SUM(B30*'Life Table - Female'!B85,U30)</f>
        <v>337.10296830473629</v>
      </c>
      <c r="V31" s="49">
        <f t="shared" si="14"/>
        <v>0</v>
      </c>
      <c r="W31" s="54">
        <v>1.3333333333333333</v>
      </c>
      <c r="X31" s="13">
        <f t="shared" si="15"/>
        <v>518179.83775787137</v>
      </c>
      <c r="Y31" s="25">
        <f t="shared" si="15"/>
        <v>190.36109720596872</v>
      </c>
    </row>
    <row r="32" spans="1:25" x14ac:dyDescent="0.2">
      <c r="A32" s="10">
        <v>29</v>
      </c>
      <c r="B32" s="15">
        <f t="shared" si="13"/>
        <v>337.42816020260091</v>
      </c>
      <c r="C32" s="27">
        <f>(1-SUM(pHealthyStage1,pHealthyStage2,pHealthyStage3))*C31*(1-'Life Table - Female'!B86)</f>
        <v>47.472671522189756</v>
      </c>
      <c r="D32" s="19">
        <f t="shared" si="2"/>
        <v>0</v>
      </c>
      <c r="E32" s="20">
        <f t="shared" si="1"/>
        <v>13.429903646113155</v>
      </c>
      <c r="F32" s="27">
        <f>SUM(pHealthyStage1*C31,(1-SUM(pStage1Remission,pStage1Stage2))*F31,pStage2Stage1*I31,pRemissionStage1*O31)*(1-'Life Table - Female'!B86)</f>
        <v>63.725338093639685</v>
      </c>
      <c r="G32" s="19">
        <f t="shared" si="3"/>
        <v>28844.389766892607</v>
      </c>
      <c r="H32" s="20">
        <f t="shared" si="4"/>
        <v>15.864414371790934</v>
      </c>
      <c r="I32" s="27">
        <f>SUM(pHealthyStage2*C31,pStage1Stage2*F31,(1-SUM(pStage2Remission, pStage2Stage1, pStage2Stage3))*I31,pStage3Stage2*L31,pRemissionStage2*O31)*(1-'Life Table - Female'!B86)</f>
        <v>42.554261085441901</v>
      </c>
      <c r="J32" s="19">
        <f t="shared" si="5"/>
        <v>86677.180281746987</v>
      </c>
      <c r="K32" s="20">
        <f t="shared" si="6"/>
        <v>8.5473330555611593</v>
      </c>
      <c r="L32" s="27">
        <f>SUM(pHealthyStage3*C31,pStage2Stage3*I31,(1-SUM(pStage3Death, pStage3Stage2))*L31)*(1-'Life Table - Female'!B86)</f>
        <v>14.180482124128931</v>
      </c>
      <c r="M32" s="19">
        <f t="shared" si="7"/>
        <v>93069.676878167229</v>
      </c>
      <c r="N32" s="20">
        <f t="shared" si="8"/>
        <v>1.44418464121294</v>
      </c>
      <c r="O32" s="27">
        <f>SUM(pStage1Remission*F31,pStage2Remission*I31,(1-SUM(pRemissionStage1, pRemissionStage2))*O31)*(1-'Life Table - Female'!B86)</f>
        <v>169.49540737720065</v>
      </c>
      <c r="P32" s="19">
        <f t="shared" si="9"/>
        <v>23974.919849102091</v>
      </c>
      <c r="Q32" s="23">
        <f t="shared" si="10"/>
        <v>45.552347713293976</v>
      </c>
      <c r="R32" s="27">
        <f>SUM(pStage3Death*L31*(1-'Life Table - Female'!B86),R31)</f>
        <v>302.19260416761148</v>
      </c>
      <c r="S32" s="19">
        <f t="shared" si="11"/>
        <v>0</v>
      </c>
      <c r="T32" s="23">
        <f t="shared" si="12"/>
        <v>0</v>
      </c>
      <c r="U32" s="199">
        <f>SUM(B31*'Life Table - Female'!B86,U31)</f>
        <v>360.3792356297879</v>
      </c>
      <c r="V32" s="49">
        <f t="shared" si="14"/>
        <v>0</v>
      </c>
      <c r="W32" s="54">
        <v>0.66666666666666663</v>
      </c>
      <c r="X32" s="13">
        <f t="shared" si="15"/>
        <v>232566.1667759089</v>
      </c>
      <c r="Y32" s="25">
        <f t="shared" si="15"/>
        <v>84.838183427972169</v>
      </c>
    </row>
    <row r="33" spans="1:25" ht="16" thickBot="1" x14ac:dyDescent="0.25">
      <c r="A33" s="11">
        <v>30</v>
      </c>
      <c r="B33" s="166">
        <f t="shared" si="13"/>
        <v>307.38328194686613</v>
      </c>
      <c r="C33" s="28">
        <f>(1-SUM(pHealthyStage1,pHealthyStage2,pHealthyStage3))*C32*(1-'Life Table - Female'!B87)</f>
        <v>40.552922789708326</v>
      </c>
      <c r="D33" s="21">
        <f t="shared" si="2"/>
        <v>0</v>
      </c>
      <c r="E33" s="22">
        <f t="shared" si="1"/>
        <v>5.5690890830102351</v>
      </c>
      <c r="F33" s="28">
        <f>SUM(pHealthyStage1*C32,(1-SUM(pStage1Remission,pStage1Stage2))*F32,pStage2Stage1*I32,pRemissionStage1*O32)*(1-'Life Table - Female'!B87)</f>
        <v>58.378160174199415</v>
      </c>
      <c r="G33" s="21">
        <f t="shared" si="3"/>
        <v>12827.215486223458</v>
      </c>
      <c r="H33" s="22">
        <f t="shared" si="4"/>
        <v>7.0549685174229024</v>
      </c>
      <c r="I33" s="28">
        <f>SUM(pHealthyStage2*C32,pStage1Stage2*F32,(1-SUM(pStage2Remission, pStage2Stage1, pStage2Stage3))*I32,pStage3Stage2*L32,pRemissionStage2*O32)*(1-'Life Table - Female'!B87)</f>
        <v>39.033383869506302</v>
      </c>
      <c r="J33" s="21">
        <f t="shared" si="5"/>
        <v>38594.969600012089</v>
      </c>
      <c r="K33" s="22">
        <f t="shared" si="6"/>
        <v>3.8058928355567478</v>
      </c>
      <c r="L33" s="28">
        <f>SUM(pHealthyStage3*C32,pStage2Stage3*I32,(1-SUM(pStage3Death, pStage3Stage2))*L32)*(1-'Life Table - Female'!B87)</f>
        <v>12.951078315799538</v>
      </c>
      <c r="M33" s="21">
        <f t="shared" si="7"/>
        <v>41262.536223820389</v>
      </c>
      <c r="N33" s="22">
        <f t="shared" si="8"/>
        <v>0.64028073450755774</v>
      </c>
      <c r="O33" s="28">
        <f>SUM(pStage1Remission*F32,pStage2Remission*I32,(1-SUM(pRemissionStage1, pRemissionStage2))*O32)*(1-'Life Table - Female'!B87)</f>
        <v>156.46773679765255</v>
      </c>
      <c r="P33" s="21">
        <f t="shared" si="9"/>
        <v>10743.772642008782</v>
      </c>
      <c r="Q33" s="24">
        <f t="shared" si="10"/>
        <v>20.413168019816684</v>
      </c>
      <c r="R33" s="28">
        <f>SUM(pStage3Death*L32*(1-'Life Table - Female'!B87),R32)</f>
        <v>308.11768352786601</v>
      </c>
      <c r="S33" s="21">
        <f t="shared" si="11"/>
        <v>0</v>
      </c>
      <c r="T33" s="24">
        <f t="shared" si="12"/>
        <v>0</v>
      </c>
      <c r="U33" s="177">
        <f>SUM(B32*'Life Table - Female'!B87,U32)</f>
        <v>384.49903452526814</v>
      </c>
      <c r="V33" s="49">
        <f t="shared" si="14"/>
        <v>0</v>
      </c>
      <c r="W33" s="54">
        <v>0.33333333333333331</v>
      </c>
      <c r="X33" s="13">
        <f t="shared" si="15"/>
        <v>103428.49395206472</v>
      </c>
      <c r="Y33" s="25">
        <f t="shared" si="15"/>
        <v>37.483399190314131</v>
      </c>
    </row>
    <row r="34" spans="1:25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7"/>
      <c r="V34" s="176" t="s">
        <v>80</v>
      </c>
      <c r="W34" s="53"/>
      <c r="X34" s="30">
        <f>SUM(X3:X33)</f>
        <v>24295828.570108801</v>
      </c>
      <c r="Y34" s="31">
        <f>SUM(Y3:Y33)</f>
        <v>13501.687586201411</v>
      </c>
    </row>
    <row r="35" spans="1:25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7"/>
      <c r="V35" s="8"/>
      <c r="W35" s="8"/>
      <c r="X35" s="7"/>
      <c r="Y35" s="6"/>
    </row>
    <row r="36" spans="1:25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7"/>
      <c r="V36" s="8"/>
      <c r="W36" s="8"/>
      <c r="X36" s="7"/>
      <c r="Y36" s="6"/>
    </row>
    <row r="37" spans="1:25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7"/>
      <c r="V37" s="8"/>
      <c r="W37" s="8"/>
      <c r="X37" s="7"/>
      <c r="Y37" s="6"/>
    </row>
    <row r="38" spans="1:25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7"/>
      <c r="V38" s="8"/>
      <c r="W38" s="8"/>
      <c r="X38" s="7"/>
      <c r="Y38" s="6"/>
    </row>
    <row r="39" spans="1:25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7"/>
      <c r="V39" s="8"/>
      <c r="W39" s="8"/>
      <c r="X39" s="7"/>
      <c r="Y39" s="6"/>
    </row>
    <row r="40" spans="1:25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7"/>
      <c r="V40" s="8"/>
      <c r="W40" s="8"/>
      <c r="X40" s="7"/>
      <c r="Y40" s="6"/>
    </row>
    <row r="41" spans="1:25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7"/>
      <c r="V41" s="8"/>
      <c r="W41" s="8"/>
      <c r="X41" s="7"/>
      <c r="Y41" s="6"/>
    </row>
    <row r="42" spans="1:25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7"/>
      <c r="V42" s="8"/>
      <c r="W42" s="8"/>
      <c r="X42" s="7"/>
      <c r="Y42" s="6"/>
    </row>
    <row r="43" spans="1:25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7"/>
      <c r="V43" s="8"/>
      <c r="W43" s="8"/>
      <c r="X43" s="7"/>
      <c r="Y43" s="6"/>
    </row>
    <row r="44" spans="1:25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7"/>
      <c r="V44" s="8"/>
      <c r="W44" s="8"/>
      <c r="X44" s="7"/>
      <c r="Y44" s="6"/>
    </row>
    <row r="45" spans="1:25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7"/>
      <c r="V45" s="8"/>
      <c r="W45" s="8"/>
      <c r="X45" s="7"/>
      <c r="Y45" s="6"/>
    </row>
    <row r="46" spans="1:25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7"/>
      <c r="V46" s="8"/>
      <c r="W46" s="8"/>
      <c r="X46" s="7"/>
      <c r="Y46" s="6"/>
    </row>
    <row r="47" spans="1:25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7"/>
      <c r="V47" s="8"/>
      <c r="W47" s="8"/>
      <c r="X47" s="7"/>
      <c r="Y47" s="6"/>
    </row>
    <row r="48" spans="1:25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7"/>
      <c r="V48" s="8"/>
      <c r="W48" s="8"/>
      <c r="X48" s="7"/>
      <c r="Y48" s="6"/>
    </row>
    <row r="49" spans="2:25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7"/>
      <c r="V49" s="8"/>
      <c r="W49" s="8"/>
      <c r="X49" s="7"/>
      <c r="Y49" s="6"/>
    </row>
    <row r="50" spans="2:25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7"/>
      <c r="V50" s="8"/>
      <c r="W50" s="8"/>
      <c r="X50" s="7"/>
      <c r="Y50" s="6"/>
    </row>
    <row r="51" spans="2:25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7"/>
      <c r="V51" s="8"/>
      <c r="W51" s="8"/>
      <c r="X51" s="7"/>
      <c r="Y51" s="6"/>
    </row>
    <row r="52" spans="2:25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7"/>
      <c r="V52" s="8"/>
      <c r="W52" s="8"/>
      <c r="X52" s="7"/>
      <c r="Y52" s="6"/>
    </row>
    <row r="53" spans="2:25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7"/>
      <c r="V53" s="8"/>
      <c r="W53" s="8"/>
      <c r="X53" s="7"/>
      <c r="Y53" s="6"/>
    </row>
    <row r="54" spans="2:25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7"/>
      <c r="V54" s="8"/>
      <c r="W54" s="8"/>
      <c r="X54" s="7"/>
      <c r="Y54" s="6"/>
    </row>
    <row r="55" spans="2:25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7"/>
      <c r="V55" s="8"/>
      <c r="W55" s="8"/>
      <c r="X55" s="7"/>
      <c r="Y55" s="6"/>
    </row>
    <row r="56" spans="2:25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7"/>
      <c r="V56" s="8"/>
      <c r="W56" s="8"/>
      <c r="X56" s="7"/>
      <c r="Y56" s="6"/>
    </row>
    <row r="57" spans="2:25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7"/>
      <c r="V57" s="8"/>
      <c r="W57" s="8"/>
      <c r="X57" s="7"/>
      <c r="Y57" s="6"/>
    </row>
    <row r="58" spans="2:25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7"/>
      <c r="V58" s="8"/>
      <c r="W58" s="8"/>
      <c r="X58" s="7"/>
      <c r="Y58" s="6"/>
    </row>
    <row r="59" spans="2:25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7"/>
      <c r="V59" s="8"/>
      <c r="W59" s="8"/>
      <c r="X59" s="7"/>
      <c r="Y59" s="6"/>
    </row>
    <row r="60" spans="2:25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7"/>
      <c r="V60" s="8"/>
      <c r="W60" s="8"/>
      <c r="X60" s="7"/>
      <c r="Y60" s="6"/>
    </row>
    <row r="61" spans="2:25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7"/>
      <c r="V61" s="8"/>
      <c r="W61" s="8"/>
      <c r="X61" s="7"/>
      <c r="Y61" s="6"/>
    </row>
    <row r="62" spans="2:25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7"/>
      <c r="V62" s="8"/>
      <c r="W62" s="8"/>
      <c r="X62" s="7"/>
      <c r="Y62" s="6"/>
    </row>
    <row r="63" spans="2:25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7"/>
      <c r="V63" s="8"/>
      <c r="W63" s="8"/>
      <c r="X63" s="7"/>
      <c r="Y63" s="6"/>
    </row>
    <row r="64" spans="2:25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7"/>
      <c r="V64" s="8"/>
      <c r="W64" s="8"/>
      <c r="X64" s="7"/>
      <c r="Y64" s="6"/>
    </row>
    <row r="65" spans="2:25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7"/>
      <c r="V65" s="8"/>
      <c r="W65" s="8"/>
      <c r="X65" s="7"/>
      <c r="Y65" s="6"/>
    </row>
    <row r="66" spans="2:25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7"/>
      <c r="V66" s="8"/>
      <c r="W66" s="8"/>
      <c r="X66" s="7"/>
      <c r="Y66" s="6"/>
    </row>
    <row r="67" spans="2:25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7"/>
      <c r="V67" s="8"/>
      <c r="W67" s="8"/>
      <c r="X67" s="7"/>
      <c r="Y67" s="6"/>
    </row>
    <row r="68" spans="2:25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7"/>
      <c r="V68" s="8"/>
      <c r="W68" s="8"/>
      <c r="X68" s="7"/>
      <c r="Y68" s="6"/>
    </row>
    <row r="69" spans="2:25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7"/>
      <c r="V69" s="8"/>
      <c r="W69" s="8"/>
      <c r="X69" s="7"/>
      <c r="Y69" s="6"/>
    </row>
    <row r="70" spans="2:25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7"/>
      <c r="V70" s="8"/>
      <c r="W70" s="8"/>
      <c r="X70" s="7"/>
      <c r="Y70" s="6"/>
    </row>
    <row r="71" spans="2:25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7"/>
      <c r="V71" s="8"/>
      <c r="W71" s="8"/>
      <c r="X71" s="7"/>
      <c r="Y71" s="6"/>
    </row>
    <row r="72" spans="2:25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7"/>
      <c r="V72" s="8"/>
      <c r="W72" s="8"/>
      <c r="X72" s="7"/>
      <c r="Y72" s="6"/>
    </row>
    <row r="73" spans="2:25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7"/>
      <c r="V73" s="8"/>
      <c r="W73" s="8"/>
      <c r="X73" s="7"/>
      <c r="Y73" s="6"/>
    </row>
    <row r="74" spans="2:25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7"/>
      <c r="V74" s="8"/>
      <c r="W74" s="8"/>
      <c r="X74" s="7"/>
      <c r="Y74" s="6"/>
    </row>
    <row r="75" spans="2:25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7"/>
      <c r="V75" s="8"/>
      <c r="W75" s="8"/>
      <c r="X75" s="7"/>
      <c r="Y75" s="6"/>
    </row>
    <row r="76" spans="2:25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7"/>
      <c r="V76" s="8"/>
      <c r="W76" s="8"/>
      <c r="X76" s="7"/>
      <c r="Y76" s="6"/>
    </row>
    <row r="77" spans="2:25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7"/>
      <c r="V77" s="8"/>
      <c r="W77" s="8"/>
      <c r="X77" s="7"/>
      <c r="Y77" s="6"/>
    </row>
    <row r="78" spans="2:25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7"/>
      <c r="V78" s="8"/>
      <c r="W78" s="8"/>
      <c r="X78" s="7"/>
      <c r="Y78" s="6"/>
    </row>
    <row r="79" spans="2:25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7"/>
      <c r="V79" s="8"/>
      <c r="W79" s="8"/>
      <c r="X79" s="7"/>
      <c r="Y79" s="6"/>
    </row>
    <row r="80" spans="2:25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7"/>
      <c r="V80" s="8"/>
      <c r="W80" s="8"/>
      <c r="X80" s="7"/>
      <c r="Y80" s="6"/>
    </row>
    <row r="81" spans="2:25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7"/>
      <c r="V81" s="8"/>
      <c r="W81" s="8"/>
      <c r="X81" s="7"/>
      <c r="Y81" s="6"/>
    </row>
    <row r="82" spans="2:25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7"/>
      <c r="V82" s="8"/>
      <c r="W82" s="8"/>
      <c r="X82" s="7"/>
      <c r="Y82" s="6"/>
    </row>
    <row r="83" spans="2:25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7"/>
      <c r="V83" s="8"/>
      <c r="W83" s="8"/>
      <c r="X83" s="7"/>
      <c r="Y83" s="6"/>
    </row>
    <row r="84" spans="2:25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7"/>
      <c r="V84" s="8"/>
      <c r="W84" s="8"/>
      <c r="X84" s="7"/>
      <c r="Y84" s="6"/>
    </row>
    <row r="85" spans="2:25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7"/>
      <c r="V85" s="8"/>
      <c r="W85" s="8"/>
      <c r="X85" s="7"/>
      <c r="Y85" s="6"/>
    </row>
    <row r="86" spans="2:25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7"/>
      <c r="V86" s="8"/>
      <c r="W86" s="8"/>
      <c r="X86" s="7"/>
      <c r="Y86" s="6"/>
    </row>
    <row r="87" spans="2:25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7"/>
      <c r="V87" s="8"/>
      <c r="W87" s="8"/>
      <c r="X87" s="7"/>
      <c r="Y87" s="6"/>
    </row>
    <row r="88" spans="2:25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7"/>
      <c r="V88" s="8"/>
      <c r="W88" s="8"/>
      <c r="X88" s="7"/>
      <c r="Y88" s="6"/>
    </row>
    <row r="89" spans="2:25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7"/>
      <c r="V89" s="8"/>
      <c r="W89" s="8"/>
      <c r="X89" s="7"/>
      <c r="Y89" s="6"/>
    </row>
    <row r="90" spans="2:25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7"/>
      <c r="V90" s="8"/>
      <c r="W90" s="8"/>
      <c r="X90" s="7"/>
      <c r="Y90" s="6"/>
    </row>
    <row r="91" spans="2:25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7"/>
      <c r="V91" s="8"/>
      <c r="W91" s="8"/>
      <c r="X91" s="7"/>
      <c r="Y91" s="6"/>
    </row>
    <row r="92" spans="2:25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7"/>
      <c r="V92" s="8"/>
      <c r="W92" s="8"/>
      <c r="X92" s="7"/>
      <c r="Y92" s="6"/>
    </row>
    <row r="93" spans="2:25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7"/>
      <c r="V93" s="8"/>
      <c r="W93" s="8"/>
      <c r="X93" s="7"/>
      <c r="Y93" s="6"/>
    </row>
    <row r="94" spans="2:25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7"/>
      <c r="V94" s="8"/>
      <c r="W94" s="8"/>
      <c r="X94" s="7"/>
      <c r="Y94" s="6"/>
    </row>
    <row r="95" spans="2:25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7"/>
      <c r="V95" s="8"/>
      <c r="W95" s="8"/>
      <c r="X95" s="7"/>
      <c r="Y95" s="6"/>
    </row>
    <row r="96" spans="2:25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7"/>
      <c r="V96" s="8"/>
      <c r="W96" s="8"/>
      <c r="X96" s="7"/>
      <c r="Y96" s="6"/>
    </row>
    <row r="97" spans="2:25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7"/>
      <c r="V97" s="8"/>
      <c r="W97" s="8"/>
      <c r="X97" s="7"/>
      <c r="Y97" s="6"/>
    </row>
    <row r="98" spans="2:25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7"/>
      <c r="V98" s="8"/>
      <c r="W98" s="8"/>
      <c r="X98" s="7"/>
      <c r="Y98" s="6"/>
    </row>
    <row r="99" spans="2:25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7"/>
      <c r="V99" s="8"/>
      <c r="W99" s="8"/>
      <c r="X99" s="7"/>
      <c r="Y99" s="6"/>
    </row>
    <row r="100" spans="2:25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7"/>
      <c r="V100" s="8"/>
      <c r="W100" s="8"/>
      <c r="X100" s="7"/>
      <c r="Y100" s="6"/>
    </row>
    <row r="101" spans="2:25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7"/>
      <c r="V101" s="8"/>
      <c r="W101" s="8"/>
      <c r="X101" s="7"/>
      <c r="Y101" s="6"/>
    </row>
    <row r="102" spans="2:25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7"/>
      <c r="V102" s="8"/>
      <c r="W102" s="8"/>
      <c r="X102" s="7"/>
      <c r="Y102" s="6"/>
    </row>
    <row r="103" spans="2:25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7"/>
      <c r="V103" s="8"/>
      <c r="W103" s="8"/>
      <c r="X103" s="7"/>
      <c r="Y103" s="6"/>
    </row>
    <row r="104" spans="2:25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7"/>
      <c r="V104" s="8"/>
      <c r="W104" s="8"/>
      <c r="X104" s="7"/>
      <c r="Y104" s="6"/>
    </row>
    <row r="105" spans="2:25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7"/>
      <c r="V105" s="8"/>
      <c r="W105" s="8"/>
      <c r="X105" s="7"/>
      <c r="Y105" s="6"/>
    </row>
    <row r="106" spans="2:25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7"/>
      <c r="V106" s="8"/>
      <c r="W106" s="8"/>
      <c r="X106" s="7"/>
      <c r="Y106" s="6"/>
    </row>
    <row r="107" spans="2:25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7"/>
      <c r="V107" s="8"/>
      <c r="W107" s="8"/>
      <c r="X107" s="7"/>
      <c r="Y107" s="6"/>
    </row>
    <row r="108" spans="2:25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7"/>
      <c r="V108" s="8"/>
      <c r="W108" s="8"/>
      <c r="X108" s="7"/>
      <c r="Y108" s="6"/>
    </row>
    <row r="109" spans="2:25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7"/>
      <c r="V109" s="8"/>
      <c r="W109" s="8"/>
      <c r="X109" s="7"/>
      <c r="Y109" s="6"/>
    </row>
    <row r="110" spans="2:25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7"/>
      <c r="V110" s="8"/>
      <c r="W110" s="8"/>
      <c r="X110" s="7"/>
      <c r="Y110" s="6"/>
    </row>
    <row r="111" spans="2:25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7"/>
      <c r="V111" s="8"/>
      <c r="W111" s="8"/>
      <c r="X111" s="7"/>
      <c r="Y111" s="6"/>
    </row>
    <row r="112" spans="2:25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7"/>
      <c r="V112" s="8"/>
      <c r="W112" s="8"/>
      <c r="X112" s="7"/>
      <c r="Y112" s="6"/>
    </row>
    <row r="113" spans="2:25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7"/>
      <c r="V113" s="8"/>
      <c r="W113" s="8"/>
      <c r="X113" s="7"/>
      <c r="Y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X113"/>
  <sheetViews>
    <sheetView workbookViewId="0">
      <selection activeCell="F7" sqref="F7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20" width="9.33203125" style="1" bestFit="1" customWidth="1"/>
    <col min="21" max="21" width="6.5" style="1" bestFit="1" customWidth="1"/>
    <col min="22" max="22" width="21.33203125" style="1" bestFit="1" customWidth="1"/>
    <col min="23" max="23" width="13.5" style="1" bestFit="1" customWidth="1"/>
    <col min="24" max="24" width="15" style="1" bestFit="1" customWidth="1"/>
    <col min="25" max="16384" width="8.83203125" style="1"/>
  </cols>
  <sheetData>
    <row r="1" spans="1:24" x14ac:dyDescent="0.2">
      <c r="C1" s="216" t="s">
        <v>7</v>
      </c>
      <c r="D1" s="217"/>
      <c r="E1" s="218"/>
      <c r="F1" s="219" t="s">
        <v>8</v>
      </c>
      <c r="G1" s="220"/>
      <c r="H1" s="221"/>
      <c r="I1" s="222" t="s">
        <v>9</v>
      </c>
      <c r="J1" s="223"/>
      <c r="K1" s="224"/>
      <c r="L1" s="225" t="s">
        <v>10</v>
      </c>
      <c r="M1" s="226"/>
      <c r="N1" s="227"/>
      <c r="O1" s="228" t="s">
        <v>11</v>
      </c>
      <c r="P1" s="229"/>
      <c r="Q1" s="230"/>
      <c r="R1" s="213" t="s">
        <v>12</v>
      </c>
      <c r="S1" s="214"/>
      <c r="T1" s="215"/>
    </row>
    <row r="2" spans="1:24" x14ac:dyDescent="0.2">
      <c r="A2" s="2" t="s">
        <v>3</v>
      </c>
      <c r="B2" s="4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2" t="s">
        <v>13</v>
      </c>
      <c r="V2" s="2" t="s">
        <v>137</v>
      </c>
      <c r="W2" s="2" t="s">
        <v>14</v>
      </c>
      <c r="X2" s="2" t="s">
        <v>15</v>
      </c>
    </row>
    <row r="3" spans="1:24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C3*uHealthy*V3/(1+discount_rate)^A3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48">
        <f>SUM(C3,F3,I3,L3,O3,R3)-B3</f>
        <v>0</v>
      </c>
      <c r="V3" s="55">
        <v>0.33333333333333331</v>
      </c>
      <c r="W3" s="12">
        <f>SUM(D3,G3,J3,M3,P3,S3)</f>
        <v>0</v>
      </c>
      <c r="X3" s="12">
        <f>SUM(E3,H3,K3,N3,Q3,T3)</f>
        <v>333.33333333333331</v>
      </c>
    </row>
    <row r="4" spans="1:24" x14ac:dyDescent="0.2">
      <c r="A4" s="10">
        <v>1</v>
      </c>
      <c r="B4" s="15">
        <f t="shared" ref="B4:B33" si="2">SUM(C3,F3,I3,L3,O3)</f>
        <v>1000</v>
      </c>
      <c r="C4" s="27">
        <f>(1-SUM(pHealthyStage1,pHealthyStage2,pHealthyStage3))*C3</f>
        <v>920</v>
      </c>
      <c r="D4" s="19">
        <f t="shared" ref="D4:D33" si="3">C4*0*V4/(1+discount_rate)^A4</f>
        <v>0</v>
      </c>
      <c r="E4" s="20">
        <f t="shared" si="1"/>
        <v>595.46925566343032</v>
      </c>
      <c r="F4" s="27">
        <f>SUM(pHealthyStage1*C3,(1-SUM(pStage1Remission,pStage1Stage2))*F3,pStage2Stage1*I3,pRemissionStage1*O3)</f>
        <v>50</v>
      </c>
      <c r="G4" s="19">
        <f t="shared" ref="G4:G33" si="4">F4*SUM(nVisitsStage1*cVisit,cTreatmentStage1)*V4/(1+discount_rate)^A4</f>
        <v>51779.935275080898</v>
      </c>
      <c r="H4" s="20">
        <f t="shared" ref="H4:H33" si="5">F4*uStage1*V4/(1+discount_rate)^A4</f>
        <v>28.478964401294498</v>
      </c>
      <c r="I4" s="27">
        <f t="shared" ref="I4:I33" si="6">SUM(pHealthyStage2*C3,pStage1Stage2*F3,(1-SUM(pStage2Remission, pStage2Stage1, pStage2Stage3))*I3,pStage3Stage2*L3,pRemissionStage2*O3)</f>
        <v>20</v>
      </c>
      <c r="J4" s="19">
        <f t="shared" ref="J4:J33" si="7">I4*SUM(nVisitsStage2*cVisit,cTreatmentStage2)*V4/(1+discount_rate)^A4</f>
        <v>93203.883495145623</v>
      </c>
      <c r="K4" s="20">
        <f t="shared" ref="K4:K33" si="8">I4*uStage2*V4/(1+discount_rate)^A4</f>
        <v>9.1909385113268591</v>
      </c>
      <c r="L4" s="27">
        <f t="shared" ref="L4:L33" si="9">SUM(pHealthyStage3*C3,pStage2Stage3*I3,(1-SUM(pStage3Death, pStage3Stage2))*L3)</f>
        <v>10</v>
      </c>
      <c r="M4" s="19">
        <f t="shared" ref="M4:M33" si="10">L4*SUM(nVisitsStage3*cVisit,cTreatmentStage3)*V4/(1+discount_rate)^A4</f>
        <v>150161.81229773461</v>
      </c>
      <c r="N4" s="20">
        <f t="shared" ref="N4:N33" si="11">L4*uStage3*V4/(1+discount_rate)^A4</f>
        <v>2.3300970873786402</v>
      </c>
      <c r="O4" s="27">
        <f t="shared" ref="O4:O33" si="12">SUM(pStage1Remission*F3,pStage2Remission*I3,(1-SUM(pRemissionStage1, pRemissionStage2))*O3)</f>
        <v>0</v>
      </c>
      <c r="P4" s="19">
        <f t="shared" ref="P4:P33" si="13">O4*SUM(nVisitsRemission*cVisit,cTreatmentRemission)*V4/(1+discount_rate)^A4</f>
        <v>0</v>
      </c>
      <c r="Q4" s="23">
        <f t="shared" ref="Q4:Q33" si="14">O4*uRemission*V4/(1+discount_rate)^A4</f>
        <v>0</v>
      </c>
      <c r="R4" s="27">
        <f t="shared" ref="R4:R33" si="15">SUM(pStage3Death*L3,R3)</f>
        <v>0</v>
      </c>
      <c r="S4" s="19">
        <f t="shared" ref="S4:S33" si="16">R4*0*V4/(1+discount_rate)^A4</f>
        <v>0</v>
      </c>
      <c r="T4" s="23">
        <f t="shared" ref="T4:T33" si="17">R4*0*V4/(1+discount_rate)^A4</f>
        <v>0</v>
      </c>
      <c r="U4" s="49">
        <f t="shared" ref="U4:U33" si="18">SUM(C4,F4,I4,L4,O4,R4-R3)-B4</f>
        <v>0</v>
      </c>
      <c r="V4" s="54">
        <v>0.66666666666666663</v>
      </c>
      <c r="W4" s="13">
        <f>SUM(D4,G4,J4,M4,P4,S4)</f>
        <v>295145.63106796111</v>
      </c>
      <c r="X4" s="25">
        <f>SUM(E4,H4,K4,N4,Q4,T4)</f>
        <v>635.46925566343032</v>
      </c>
    </row>
    <row r="5" spans="1:24" x14ac:dyDescent="0.2">
      <c r="A5" s="10">
        <v>2</v>
      </c>
      <c r="B5" s="15">
        <f t="shared" si="2"/>
        <v>1000</v>
      </c>
      <c r="C5" s="27">
        <f t="shared" ref="C5:C33" si="19">(1-SUM(pHealthyStage1,pHealthyStage2,pHealthyStage3))*C4</f>
        <v>846.40000000000009</v>
      </c>
      <c r="D5" s="19">
        <f t="shared" si="3"/>
        <v>0</v>
      </c>
      <c r="E5" s="20">
        <f t="shared" si="1"/>
        <v>1063.7509033210797</v>
      </c>
      <c r="F5" s="27">
        <f t="shared" ref="F5:F33" si="20">SUM(pHealthyStage1*C4,(1-SUM(pStage1Remission,pStage1Stage2))*F4,pStage2Stage1*I4,pRemissionStage1*O4)</f>
        <v>79.5</v>
      </c>
      <c r="G5" s="19">
        <f t="shared" si="4"/>
        <v>159864.26618908474</v>
      </c>
      <c r="H5" s="20">
        <f t="shared" si="5"/>
        <v>87.925346403996599</v>
      </c>
      <c r="I5" s="27">
        <f t="shared" si="6"/>
        <v>35.900000000000006</v>
      </c>
      <c r="J5" s="19">
        <f t="shared" si="7"/>
        <v>324856.25412385713</v>
      </c>
      <c r="K5" s="20">
        <f t="shared" si="8"/>
        <v>32.034436170547025</v>
      </c>
      <c r="L5" s="27">
        <f t="shared" si="9"/>
        <v>17.200000000000003</v>
      </c>
      <c r="M5" s="19">
        <f t="shared" si="10"/>
        <v>501511.29544097785</v>
      </c>
      <c r="N5" s="20">
        <f t="shared" si="11"/>
        <v>7.7820718258082762</v>
      </c>
      <c r="O5" s="27">
        <f t="shared" si="12"/>
        <v>16.5</v>
      </c>
      <c r="P5" s="19">
        <f t="shared" si="13"/>
        <v>10368.555000471299</v>
      </c>
      <c r="Q5" s="23">
        <f t="shared" si="14"/>
        <v>19.700254500895465</v>
      </c>
      <c r="R5" s="27">
        <f t="shared" si="15"/>
        <v>4.5</v>
      </c>
      <c r="S5" s="19">
        <f t="shared" si="16"/>
        <v>0</v>
      </c>
      <c r="T5" s="23">
        <f t="shared" si="17"/>
        <v>0</v>
      </c>
      <c r="U5" s="49">
        <f>SUM(C5,F5,I5,L5,O5,R5-R4)-B5</f>
        <v>0</v>
      </c>
      <c r="V5" s="54">
        <v>1.3333333333333333</v>
      </c>
      <c r="W5" s="13">
        <f t="shared" ref="W5:W33" si="21">SUM(D5,G5,J5,M5,P5,S5)</f>
        <v>996600.37075439107</v>
      </c>
      <c r="X5" s="25">
        <f t="shared" ref="X5:X33" si="22">SUM(E5,H5,K5,N5,Q5,T5)</f>
        <v>1211.1930122223271</v>
      </c>
    </row>
    <row r="6" spans="1:24" x14ac:dyDescent="0.2">
      <c r="A6" s="10">
        <v>3</v>
      </c>
      <c r="B6" s="15">
        <f t="shared" si="2"/>
        <v>995.50000000000011</v>
      </c>
      <c r="C6" s="27">
        <f t="shared" si="19"/>
        <v>778.6880000000001</v>
      </c>
      <c r="D6" s="19">
        <f t="shared" si="3"/>
        <v>0</v>
      </c>
      <c r="E6" s="20">
        <f t="shared" si="1"/>
        <v>475.07321895892881</v>
      </c>
      <c r="F6" s="27">
        <f t="shared" si="20"/>
        <v>97.440000000000012</v>
      </c>
      <c r="G6" s="19">
        <f t="shared" si="4"/>
        <v>95116.163506530007</v>
      </c>
      <c r="H6" s="20">
        <f t="shared" si="5"/>
        <v>52.313889928591493</v>
      </c>
      <c r="I6" s="27">
        <f t="shared" si="6"/>
        <v>48.103000000000009</v>
      </c>
      <c r="J6" s="19">
        <f t="shared" si="7"/>
        <v>211301.08435135218</v>
      </c>
      <c r="K6" s="20">
        <f t="shared" si="8"/>
        <v>20.836634706869454</v>
      </c>
      <c r="L6" s="27">
        <f t="shared" si="9"/>
        <v>22.449000000000002</v>
      </c>
      <c r="M6" s="19">
        <f t="shared" si="10"/>
        <v>317747.43371400179</v>
      </c>
      <c r="N6" s="20">
        <f t="shared" si="11"/>
        <v>4.9305636265965793</v>
      </c>
      <c r="O6" s="27">
        <f t="shared" si="12"/>
        <v>41.08</v>
      </c>
      <c r="P6" s="19">
        <f t="shared" si="13"/>
        <v>12531.339788742598</v>
      </c>
      <c r="Q6" s="23">
        <f t="shared" si="14"/>
        <v>23.809545598610935</v>
      </c>
      <c r="R6" s="27">
        <f t="shared" si="15"/>
        <v>12.240000000000002</v>
      </c>
      <c r="S6" s="19">
        <f t="shared" si="16"/>
        <v>0</v>
      </c>
      <c r="T6" s="23">
        <f t="shared" si="17"/>
        <v>0</v>
      </c>
      <c r="U6" s="49">
        <f t="shared" si="18"/>
        <v>0</v>
      </c>
      <c r="V6" s="54">
        <v>0.66666666666666663</v>
      </c>
      <c r="W6" s="13">
        <f t="shared" si="21"/>
        <v>636696.02136062656</v>
      </c>
      <c r="X6" s="25">
        <f t="shared" si="22"/>
        <v>576.96385281959726</v>
      </c>
    </row>
    <row r="7" spans="1:24" x14ac:dyDescent="0.2">
      <c r="A7" s="10">
        <v>4</v>
      </c>
      <c r="B7" s="15">
        <f t="shared" si="2"/>
        <v>987.76000000000022</v>
      </c>
      <c r="C7" s="27">
        <f t="shared" si="19"/>
        <v>716.39296000000013</v>
      </c>
      <c r="D7" s="19">
        <f t="shared" si="3"/>
        <v>0</v>
      </c>
      <c r="E7" s="20">
        <f t="shared" si="1"/>
        <v>848.67448823730979</v>
      </c>
      <c r="F7" s="27">
        <f t="shared" si="20"/>
        <v>108.78355000000003</v>
      </c>
      <c r="G7" s="19">
        <f t="shared" si="4"/>
        <v>206192.58709608272</v>
      </c>
      <c r="H7" s="20">
        <f t="shared" si="5"/>
        <v>113.40592290284549</v>
      </c>
      <c r="I7" s="27">
        <f t="shared" si="6"/>
        <v>57.356010000000012</v>
      </c>
      <c r="J7" s="19">
        <f t="shared" si="7"/>
        <v>489216.69124917837</v>
      </c>
      <c r="K7" s="20">
        <f t="shared" si="8"/>
        <v>48.242201498182865</v>
      </c>
      <c r="L7" s="27">
        <f t="shared" si="9"/>
        <v>26.22683</v>
      </c>
      <c r="M7" s="19">
        <f t="shared" si="10"/>
        <v>720814.68173195969</v>
      </c>
      <c r="N7" s="20">
        <f t="shared" si="11"/>
        <v>11.185055406185581</v>
      </c>
      <c r="O7" s="27">
        <f t="shared" si="12"/>
        <v>68.898600000000016</v>
      </c>
      <c r="P7" s="19">
        <f t="shared" si="13"/>
        <v>40810.3424796826</v>
      </c>
      <c r="Q7" s="23">
        <f t="shared" si="14"/>
        <v>77.539650711396945</v>
      </c>
      <c r="R7" s="27">
        <f t="shared" si="15"/>
        <v>22.34205</v>
      </c>
      <c r="S7" s="19">
        <f t="shared" si="16"/>
        <v>0</v>
      </c>
      <c r="T7" s="23">
        <f t="shared" si="17"/>
        <v>0</v>
      </c>
      <c r="U7" s="49">
        <f t="shared" si="18"/>
        <v>0</v>
      </c>
      <c r="V7" s="54">
        <v>1.3333333333333333</v>
      </c>
      <c r="W7" s="13">
        <f t="shared" si="21"/>
        <v>1457034.3025569033</v>
      </c>
      <c r="X7" s="25">
        <f t="shared" si="22"/>
        <v>1099.0473187559207</v>
      </c>
    </row>
    <row r="8" spans="1:24" x14ac:dyDescent="0.2">
      <c r="A8" s="10">
        <v>5</v>
      </c>
      <c r="B8" s="15">
        <f t="shared" si="2"/>
        <v>977.65795000000003</v>
      </c>
      <c r="C8" s="27">
        <f t="shared" si="19"/>
        <v>659.08152320000011</v>
      </c>
      <c r="D8" s="19">
        <f t="shared" si="3"/>
        <v>0</v>
      </c>
      <c r="E8" s="20">
        <f t="shared" si="1"/>
        <v>379.01967435841021</v>
      </c>
      <c r="F8" s="27">
        <f t="shared" si="20"/>
        <v>116.28661600000002</v>
      </c>
      <c r="G8" s="19">
        <f t="shared" si="4"/>
        <v>106997.18023243532</v>
      </c>
      <c r="H8" s="20">
        <f t="shared" si="5"/>
        <v>58.848449127839423</v>
      </c>
      <c r="I8" s="27">
        <f t="shared" si="6"/>
        <v>64.376091700000018</v>
      </c>
      <c r="J8" s="19">
        <f t="shared" si="7"/>
        <v>266550.63458275434</v>
      </c>
      <c r="K8" s="20">
        <f t="shared" si="8"/>
        <v>26.284854243577161</v>
      </c>
      <c r="L8" s="27">
        <f t="shared" si="9"/>
        <v>28.880746100000003</v>
      </c>
      <c r="M8" s="19">
        <f t="shared" si="10"/>
        <v>385317.74574796378</v>
      </c>
      <c r="N8" s="20">
        <f t="shared" si="11"/>
        <v>5.9790684685028852</v>
      </c>
      <c r="O8" s="27">
        <f t="shared" si="12"/>
        <v>97.230899500000021</v>
      </c>
      <c r="P8" s="19">
        <f t="shared" si="13"/>
        <v>27957.409340757946</v>
      </c>
      <c r="Q8" s="23">
        <f t="shared" si="14"/>
        <v>53.119077747440102</v>
      </c>
      <c r="R8" s="27">
        <f t="shared" si="15"/>
        <v>34.144123499999999</v>
      </c>
      <c r="S8" s="19">
        <f t="shared" si="16"/>
        <v>0</v>
      </c>
      <c r="T8" s="23">
        <f t="shared" si="17"/>
        <v>0</v>
      </c>
      <c r="U8" s="49">
        <f t="shared" si="18"/>
        <v>0</v>
      </c>
      <c r="V8" s="54">
        <v>0.66666666666666663</v>
      </c>
      <c r="W8" s="13">
        <f t="shared" si="21"/>
        <v>786822.96990391146</v>
      </c>
      <c r="X8" s="25">
        <f t="shared" si="22"/>
        <v>523.25112394576979</v>
      </c>
    </row>
    <row r="9" spans="1:24" x14ac:dyDescent="0.2">
      <c r="A9" s="10">
        <v>6</v>
      </c>
      <c r="B9" s="15">
        <f t="shared" si="2"/>
        <v>965.85587650000002</v>
      </c>
      <c r="C9" s="27">
        <f t="shared" si="19"/>
        <v>606.35500134400013</v>
      </c>
      <c r="D9" s="19">
        <f t="shared" si="3"/>
        <v>0</v>
      </c>
      <c r="E9" s="20">
        <f t="shared" si="1"/>
        <v>677.08369011599495</v>
      </c>
      <c r="F9" s="27">
        <f t="shared" si="20"/>
        <v>121.48227109500003</v>
      </c>
      <c r="G9" s="19">
        <f t="shared" si="4"/>
        <v>217044.24428424169</v>
      </c>
      <c r="H9" s="20">
        <f t="shared" si="5"/>
        <v>119.37433435633294</v>
      </c>
      <c r="I9" s="27">
        <f t="shared" si="6"/>
        <v>69.741529364000016</v>
      </c>
      <c r="J9" s="19">
        <f t="shared" si="7"/>
        <v>560711.35564215179</v>
      </c>
      <c r="K9" s="20">
        <f t="shared" si="8"/>
        <v>55.292369792489964</v>
      </c>
      <c r="L9" s="27">
        <f t="shared" si="9"/>
        <v>30.687602037000005</v>
      </c>
      <c r="M9" s="19">
        <f t="shared" si="10"/>
        <v>794998.5321167591</v>
      </c>
      <c r="N9" s="20">
        <f t="shared" si="11"/>
        <v>12.336184119053158</v>
      </c>
      <c r="O9" s="27">
        <f t="shared" si="12"/>
        <v>124.59313691500003</v>
      </c>
      <c r="P9" s="19">
        <f t="shared" si="13"/>
        <v>69563.19377142904</v>
      </c>
      <c r="Q9" s="23">
        <f t="shared" si="14"/>
        <v>132.17006816571521</v>
      </c>
      <c r="R9" s="27">
        <f t="shared" si="15"/>
        <v>47.140459245000002</v>
      </c>
      <c r="S9" s="19">
        <f t="shared" si="16"/>
        <v>0</v>
      </c>
      <c r="T9" s="23">
        <f t="shared" si="17"/>
        <v>0</v>
      </c>
      <c r="U9" s="49">
        <f t="shared" si="18"/>
        <v>0</v>
      </c>
      <c r="V9" s="54">
        <v>1.3333333333333333</v>
      </c>
      <c r="W9" s="13">
        <f t="shared" si="21"/>
        <v>1642317.3258145817</v>
      </c>
      <c r="X9" s="25">
        <f t="shared" si="22"/>
        <v>996.25664654958621</v>
      </c>
    </row>
    <row r="10" spans="1:24" x14ac:dyDescent="0.2">
      <c r="A10" s="10">
        <v>7</v>
      </c>
      <c r="B10" s="15">
        <f t="shared" si="2"/>
        <v>952.85954075500024</v>
      </c>
      <c r="C10" s="27">
        <f t="shared" si="19"/>
        <v>557.84660123648018</v>
      </c>
      <c r="D10" s="19">
        <f t="shared" si="3"/>
        <v>0</v>
      </c>
      <c r="E10" s="20">
        <f t="shared" si="1"/>
        <v>302.38689073141524</v>
      </c>
      <c r="F10" s="27">
        <f t="shared" si="20"/>
        <v>125.22761643865003</v>
      </c>
      <c r="G10" s="19">
        <f t="shared" si="4"/>
        <v>108609.61270616294</v>
      </c>
      <c r="H10" s="20">
        <f t="shared" si="5"/>
        <v>59.735286988389625</v>
      </c>
      <c r="I10" s="27">
        <f t="shared" si="6"/>
        <v>73.884281702380022</v>
      </c>
      <c r="J10" s="19">
        <f t="shared" si="7"/>
        <v>288358.47491475008</v>
      </c>
      <c r="K10" s="20">
        <f t="shared" si="8"/>
        <v>28.435349609648963</v>
      </c>
      <c r="L10" s="27">
        <f t="shared" si="9"/>
        <v>31.868580436540007</v>
      </c>
      <c r="M10" s="19">
        <f t="shared" si="10"/>
        <v>400773.38384740957</v>
      </c>
      <c r="N10" s="20">
        <f t="shared" si="11"/>
        <v>6.2188973355632511</v>
      </c>
      <c r="O10" s="27">
        <f t="shared" si="12"/>
        <v>150.22304002430005</v>
      </c>
      <c r="P10" s="19">
        <f t="shared" si="13"/>
        <v>40715.026217317085</v>
      </c>
      <c r="Q10" s="23">
        <f t="shared" si="14"/>
        <v>77.358549812902453</v>
      </c>
      <c r="R10" s="27">
        <f t="shared" si="15"/>
        <v>60.949880161650007</v>
      </c>
      <c r="S10" s="19">
        <f t="shared" si="16"/>
        <v>0</v>
      </c>
      <c r="T10" s="23">
        <f t="shared" si="17"/>
        <v>0</v>
      </c>
      <c r="U10" s="49">
        <f t="shared" si="18"/>
        <v>0</v>
      </c>
      <c r="V10" s="54">
        <v>0.66666666666666663</v>
      </c>
      <c r="W10" s="13">
        <f t="shared" si="21"/>
        <v>838456.49768563977</v>
      </c>
      <c r="X10" s="25">
        <f t="shared" si="22"/>
        <v>474.13497447791951</v>
      </c>
    </row>
    <row r="11" spans="1:24" x14ac:dyDescent="0.2">
      <c r="A11" s="10">
        <v>8</v>
      </c>
      <c r="B11" s="15">
        <f t="shared" si="2"/>
        <v>939.05011983835027</v>
      </c>
      <c r="C11" s="27">
        <f t="shared" si="19"/>
        <v>513.21887313756179</v>
      </c>
      <c r="D11" s="19">
        <f t="shared" si="3"/>
        <v>0</v>
      </c>
      <c r="E11" s="20">
        <f t="shared" si="1"/>
        <v>540.18629023864469</v>
      </c>
      <c r="F11" s="27">
        <f t="shared" si="20"/>
        <v>128.00679883449556</v>
      </c>
      <c r="G11" s="19">
        <f t="shared" si="4"/>
        <v>215572.79798382323</v>
      </c>
      <c r="H11" s="20">
        <f t="shared" si="5"/>
        <v>118.56503889110276</v>
      </c>
      <c r="I11" s="27">
        <f t="shared" si="6"/>
        <v>77.11484371306463</v>
      </c>
      <c r="J11" s="19">
        <f t="shared" si="7"/>
        <v>584401.62940578407</v>
      </c>
      <c r="K11" s="20">
        <f t="shared" si="8"/>
        <v>57.628494010848144</v>
      </c>
      <c r="L11" s="27">
        <f t="shared" si="9"/>
        <v>32.595398485991808</v>
      </c>
      <c r="M11" s="19">
        <f t="shared" si="10"/>
        <v>795948.95815311791</v>
      </c>
      <c r="N11" s="20">
        <f t="shared" si="11"/>
        <v>12.350932109272518</v>
      </c>
      <c r="O11" s="27">
        <f t="shared" si="12"/>
        <v>173.77334447079355</v>
      </c>
      <c r="P11" s="19">
        <f t="shared" si="13"/>
        <v>91452.188535240624</v>
      </c>
      <c r="Q11" s="23">
        <f t="shared" si="14"/>
        <v>173.75915821695719</v>
      </c>
      <c r="R11" s="27">
        <f t="shared" si="15"/>
        <v>75.290741358093015</v>
      </c>
      <c r="S11" s="19">
        <f t="shared" si="16"/>
        <v>0</v>
      </c>
      <c r="T11" s="23">
        <f t="shared" si="17"/>
        <v>0</v>
      </c>
      <c r="U11" s="49">
        <f t="shared" si="18"/>
        <v>0</v>
      </c>
      <c r="V11" s="54">
        <v>1.3333333333333333</v>
      </c>
      <c r="W11" s="13">
        <f t="shared" si="21"/>
        <v>1687375.5740779659</v>
      </c>
      <c r="X11" s="25">
        <f t="shared" si="22"/>
        <v>902.48991346682533</v>
      </c>
    </row>
    <row r="12" spans="1:24" x14ac:dyDescent="0.2">
      <c r="A12" s="10">
        <v>9</v>
      </c>
      <c r="B12" s="15">
        <f t="shared" si="2"/>
        <v>924.70925864190735</v>
      </c>
      <c r="C12" s="27">
        <f t="shared" si="19"/>
        <v>472.16136328655688</v>
      </c>
      <c r="D12" s="19">
        <f t="shared" si="3"/>
        <v>0</v>
      </c>
      <c r="E12" s="20">
        <f t="shared" si="1"/>
        <v>241.2482461259967</v>
      </c>
      <c r="F12" s="27">
        <f t="shared" si="20"/>
        <v>130.09843953203278</v>
      </c>
      <c r="G12" s="19">
        <f t="shared" si="4"/>
        <v>106356.9289697552</v>
      </c>
      <c r="H12" s="20">
        <f t="shared" si="5"/>
        <v>58.496310933365365</v>
      </c>
      <c r="I12" s="27">
        <f t="shared" si="6"/>
        <v>79.652400721878848</v>
      </c>
      <c r="J12" s="19">
        <f t="shared" si="7"/>
        <v>293025.2768860202</v>
      </c>
      <c r="K12" s="20">
        <f t="shared" si="8"/>
        <v>28.895548137371431</v>
      </c>
      <c r="L12" s="27">
        <f t="shared" si="9"/>
        <v>32.997114531331221</v>
      </c>
      <c r="M12" s="19">
        <f t="shared" si="10"/>
        <v>391144.89609614253</v>
      </c>
      <c r="N12" s="20">
        <f t="shared" si="11"/>
        <v>6.0694897670091077</v>
      </c>
      <c r="O12" s="27">
        <f t="shared" si="12"/>
        <v>195.13201125141131</v>
      </c>
      <c r="P12" s="19">
        <f t="shared" si="13"/>
        <v>49850.812812982171</v>
      </c>
      <c r="Q12" s="23">
        <f t="shared" si="14"/>
        <v>94.716544344666119</v>
      </c>
      <c r="R12" s="27">
        <f t="shared" si="15"/>
        <v>89.958670676789325</v>
      </c>
      <c r="S12" s="19">
        <f t="shared" si="16"/>
        <v>0</v>
      </c>
      <c r="T12" s="23">
        <f t="shared" si="17"/>
        <v>0</v>
      </c>
      <c r="U12" s="49">
        <f t="shared" si="18"/>
        <v>0</v>
      </c>
      <c r="V12" s="54">
        <v>0.66666666666666663</v>
      </c>
      <c r="W12" s="13">
        <f t="shared" si="21"/>
        <v>840377.91476489999</v>
      </c>
      <c r="X12" s="25">
        <f t="shared" si="22"/>
        <v>429.42613930840866</v>
      </c>
    </row>
    <row r="13" spans="1:24" x14ac:dyDescent="0.2">
      <c r="A13" s="10">
        <v>10</v>
      </c>
      <c r="B13" s="15">
        <f t="shared" si="2"/>
        <v>910.04132932321102</v>
      </c>
      <c r="C13" s="27">
        <f t="shared" si="19"/>
        <v>434.38845422363232</v>
      </c>
      <c r="D13" s="19">
        <f t="shared" si="3"/>
        <v>0</v>
      </c>
      <c r="E13" s="20">
        <f t="shared" si="1"/>
        <v>430.96774065226595</v>
      </c>
      <c r="F13" s="27">
        <f t="shared" si="20"/>
        <v>131.66787502138425</v>
      </c>
      <c r="G13" s="19">
        <f t="shared" si="4"/>
        <v>209009.63112702832</v>
      </c>
      <c r="H13" s="20">
        <f t="shared" si="5"/>
        <v>114.95529711986558</v>
      </c>
      <c r="I13" s="27">
        <f t="shared" si="6"/>
        <v>81.650967941198857</v>
      </c>
      <c r="J13" s="19">
        <f t="shared" si="7"/>
        <v>583257.48854854715</v>
      </c>
      <c r="K13" s="20">
        <f t="shared" si="8"/>
        <v>57.515669009648391</v>
      </c>
      <c r="L13" s="27">
        <f t="shared" si="9"/>
        <v>33.16803100681301</v>
      </c>
      <c r="M13" s="19">
        <f t="shared" si="10"/>
        <v>763438.68927678757</v>
      </c>
      <c r="N13" s="20">
        <f t="shared" si="11"/>
        <v>11.846462419812223</v>
      </c>
      <c r="O13" s="27">
        <f t="shared" si="12"/>
        <v>214.31729959108358</v>
      </c>
      <c r="P13" s="19">
        <f t="shared" si="13"/>
        <v>106314.79898854911</v>
      </c>
      <c r="Q13" s="23">
        <f t="shared" si="14"/>
        <v>201.99811807824332</v>
      </c>
      <c r="R13" s="27">
        <f t="shared" si="15"/>
        <v>104.80737221588838</v>
      </c>
      <c r="S13" s="19">
        <f t="shared" si="16"/>
        <v>0</v>
      </c>
      <c r="T13" s="23">
        <f t="shared" si="17"/>
        <v>0</v>
      </c>
      <c r="U13" s="49">
        <f t="shared" si="18"/>
        <v>0</v>
      </c>
      <c r="V13" s="54">
        <v>1.3333333333333333</v>
      </c>
      <c r="W13" s="13">
        <f t="shared" si="21"/>
        <v>1662020.6079409122</v>
      </c>
      <c r="X13" s="25">
        <f t="shared" si="22"/>
        <v>817.28328727983546</v>
      </c>
    </row>
    <row r="14" spans="1:24" x14ac:dyDescent="0.2">
      <c r="A14" s="10">
        <v>11</v>
      </c>
      <c r="B14" s="15">
        <f t="shared" si="2"/>
        <v>895.19262778411189</v>
      </c>
      <c r="C14" s="27">
        <f t="shared" si="19"/>
        <v>399.63737788574173</v>
      </c>
      <c r="D14" s="19">
        <f t="shared" si="3"/>
        <v>0</v>
      </c>
      <c r="E14" s="20">
        <f t="shared" si="1"/>
        <v>192.47102980586635</v>
      </c>
      <c r="F14" s="27">
        <f t="shared" si="20"/>
        <v>132.81781983124969</v>
      </c>
      <c r="G14" s="19">
        <f t="shared" si="4"/>
        <v>102347.11355472619</v>
      </c>
      <c r="H14" s="20">
        <f t="shared" si="5"/>
        <v>56.290912455099402</v>
      </c>
      <c r="I14" s="27">
        <f t="shared" si="6"/>
        <v>83.219403881225219</v>
      </c>
      <c r="J14" s="19">
        <f t="shared" si="7"/>
        <v>288573.44635038101</v>
      </c>
      <c r="K14" s="20">
        <f t="shared" si="8"/>
        <v>28.45654818177368</v>
      </c>
      <c r="L14" s="27">
        <f t="shared" si="9"/>
        <v>33.175545236822657</v>
      </c>
      <c r="M14" s="19">
        <f t="shared" si="10"/>
        <v>370685.26534054242</v>
      </c>
      <c r="N14" s="20">
        <f t="shared" si="11"/>
        <v>5.7520127380428985</v>
      </c>
      <c r="O14" s="27">
        <f t="shared" si="12"/>
        <v>231.41686699600689</v>
      </c>
      <c r="P14" s="19">
        <f t="shared" si="13"/>
        <v>55726.822827247088</v>
      </c>
      <c r="Q14" s="23">
        <f t="shared" si="14"/>
        <v>105.88096337176947</v>
      </c>
      <c r="R14" s="27">
        <f t="shared" si="15"/>
        <v>119.73298616895423</v>
      </c>
      <c r="S14" s="19">
        <f t="shared" si="16"/>
        <v>0</v>
      </c>
      <c r="T14" s="23">
        <f t="shared" si="17"/>
        <v>0</v>
      </c>
      <c r="U14" s="49">
        <f t="shared" si="18"/>
        <v>0</v>
      </c>
      <c r="V14" s="54">
        <v>0.66666666666666663</v>
      </c>
      <c r="W14" s="13">
        <f t="shared" si="21"/>
        <v>817332.64807289664</v>
      </c>
      <c r="X14" s="25">
        <f t="shared" si="22"/>
        <v>388.85146655255176</v>
      </c>
    </row>
    <row r="15" spans="1:24" x14ac:dyDescent="0.2">
      <c r="A15" s="10">
        <v>12</v>
      </c>
      <c r="B15" s="15">
        <f t="shared" si="2"/>
        <v>880.26701383104626</v>
      </c>
      <c r="C15" s="27">
        <f t="shared" si="19"/>
        <v>367.66638765488239</v>
      </c>
      <c r="D15" s="19">
        <f t="shared" si="3"/>
        <v>0</v>
      </c>
      <c r="E15" s="20">
        <f t="shared" si="1"/>
        <v>343.83174256581952</v>
      </c>
      <c r="F15" s="27">
        <f t="shared" si="20"/>
        <v>133.61610867826136</v>
      </c>
      <c r="G15" s="19">
        <f t="shared" si="4"/>
        <v>199926.7206327685</v>
      </c>
      <c r="H15" s="20">
        <f t="shared" si="5"/>
        <v>109.95969634802267</v>
      </c>
      <c r="I15" s="27">
        <f t="shared" si="6"/>
        <v>84.43579248121641</v>
      </c>
      <c r="J15" s="19">
        <f t="shared" si="7"/>
        <v>568527.03373895329</v>
      </c>
      <c r="K15" s="20">
        <f t="shared" si="8"/>
        <v>56.063082493702346</v>
      </c>
      <c r="L15" s="27">
        <f t="shared" si="9"/>
        <v>33.067056979452531</v>
      </c>
      <c r="M15" s="19">
        <f t="shared" si="10"/>
        <v>717423.45110922283</v>
      </c>
      <c r="N15" s="20">
        <f t="shared" si="11"/>
        <v>11.132432862039664</v>
      </c>
      <c r="O15" s="27">
        <f t="shared" si="12"/>
        <v>246.55267268066331</v>
      </c>
      <c r="P15" s="19">
        <f t="shared" si="13"/>
        <v>115284.72268401396</v>
      </c>
      <c r="Q15" s="23">
        <f t="shared" si="14"/>
        <v>219.04097309962654</v>
      </c>
      <c r="R15" s="27">
        <f t="shared" si="15"/>
        <v>134.66198152552442</v>
      </c>
      <c r="S15" s="19">
        <f t="shared" si="16"/>
        <v>0</v>
      </c>
      <c r="T15" s="23">
        <f t="shared" si="17"/>
        <v>0</v>
      </c>
      <c r="U15" s="49">
        <f t="shared" si="18"/>
        <v>0</v>
      </c>
      <c r="V15" s="54">
        <v>1.3333333333333333</v>
      </c>
      <c r="W15" s="13">
        <f t="shared" si="21"/>
        <v>1601161.9281649585</v>
      </c>
      <c r="X15" s="25">
        <f t="shared" si="22"/>
        <v>740.02792736921072</v>
      </c>
    </row>
    <row r="16" spans="1:24" x14ac:dyDescent="0.2">
      <c r="A16" s="10">
        <v>13</v>
      </c>
      <c r="B16" s="15">
        <f t="shared" si="2"/>
        <v>865.33801847447603</v>
      </c>
      <c r="C16" s="27">
        <f t="shared" si="19"/>
        <v>338.25307664249181</v>
      </c>
      <c r="D16" s="19">
        <f t="shared" si="3"/>
        <v>0</v>
      </c>
      <c r="E16" s="20">
        <f t="shared" si="1"/>
        <v>153.5559238643466</v>
      </c>
      <c r="F16" s="27">
        <f t="shared" si="20"/>
        <v>134.11084691574115</v>
      </c>
      <c r="G16" s="19">
        <f t="shared" si="4"/>
        <v>97411.158309220133</v>
      </c>
      <c r="H16" s="20">
        <f t="shared" si="5"/>
        <v>53.576137070071077</v>
      </c>
      <c r="I16" s="27">
        <f t="shared" si="6"/>
        <v>85.357400592659417</v>
      </c>
      <c r="J16" s="19">
        <f t="shared" si="7"/>
        <v>278996.33429714834</v>
      </c>
      <c r="K16" s="20">
        <f t="shared" si="8"/>
        <v>27.512138520968794</v>
      </c>
      <c r="L16" s="27">
        <f t="shared" si="9"/>
        <v>32.87556123845755</v>
      </c>
      <c r="M16" s="19">
        <f t="shared" si="10"/>
        <v>346246.96899856423</v>
      </c>
      <c r="N16" s="20">
        <f t="shared" si="11"/>
        <v>5.3727977948053072</v>
      </c>
      <c r="O16" s="27">
        <f t="shared" si="12"/>
        <v>259.86095744437245</v>
      </c>
      <c r="P16" s="19">
        <f t="shared" si="13"/>
        <v>58984.222394551856</v>
      </c>
      <c r="Q16" s="23">
        <f t="shared" si="14"/>
        <v>112.07002254964853</v>
      </c>
      <c r="R16" s="27">
        <f t="shared" si="15"/>
        <v>149.54215716627806</v>
      </c>
      <c r="S16" s="19">
        <f t="shared" si="16"/>
        <v>0</v>
      </c>
      <c r="T16" s="23">
        <f t="shared" si="17"/>
        <v>0</v>
      </c>
      <c r="U16" s="49">
        <f t="shared" si="18"/>
        <v>0</v>
      </c>
      <c r="V16" s="54">
        <v>0.66666666666666663</v>
      </c>
      <c r="W16" s="13">
        <f t="shared" si="21"/>
        <v>781638.68399948464</v>
      </c>
      <c r="X16" s="25">
        <f t="shared" si="22"/>
        <v>352.08701979984028</v>
      </c>
    </row>
    <row r="17" spans="1:24" x14ac:dyDescent="0.2">
      <c r="A17" s="10">
        <v>14</v>
      </c>
      <c r="B17" s="15">
        <f t="shared" si="2"/>
        <v>850.45784283372222</v>
      </c>
      <c r="C17" s="27">
        <f t="shared" si="19"/>
        <v>311.1928305110925</v>
      </c>
      <c r="D17" s="19">
        <f t="shared" si="3"/>
        <v>0</v>
      </c>
      <c r="E17" s="20">
        <f t="shared" si="1"/>
        <v>274.31349505863858</v>
      </c>
      <c r="F17" s="27">
        <f t="shared" si="20"/>
        <v>134.33867010142654</v>
      </c>
      <c r="G17" s="19">
        <f t="shared" si="4"/>
        <v>189469.19853663247</v>
      </c>
      <c r="H17" s="20">
        <f t="shared" si="5"/>
        <v>104.20805919514785</v>
      </c>
      <c r="I17" s="27">
        <f t="shared" si="6"/>
        <v>86.027412514161099</v>
      </c>
      <c r="J17" s="19">
        <f t="shared" si="7"/>
        <v>545992.84033550788</v>
      </c>
      <c r="K17" s="20">
        <f t="shared" si="8"/>
        <v>53.840960644195917</v>
      </c>
      <c r="L17" s="27">
        <f t="shared" si="9"/>
        <v>32.623921474552603</v>
      </c>
      <c r="M17" s="19">
        <f t="shared" si="10"/>
        <v>667178.03316394589</v>
      </c>
      <c r="N17" s="20">
        <f t="shared" si="11"/>
        <v>10.352762583578471</v>
      </c>
      <c r="O17" s="27">
        <f t="shared" si="12"/>
        <v>271.48100567518372</v>
      </c>
      <c r="P17" s="19">
        <f t="shared" si="13"/>
        <v>119653.95119560638</v>
      </c>
      <c r="Q17" s="23">
        <f t="shared" si="14"/>
        <v>227.3425072716521</v>
      </c>
      <c r="R17" s="27">
        <f t="shared" si="15"/>
        <v>164.33615972358396</v>
      </c>
      <c r="S17" s="19">
        <f t="shared" si="16"/>
        <v>0</v>
      </c>
      <c r="T17" s="23">
        <f t="shared" si="17"/>
        <v>0</v>
      </c>
      <c r="U17" s="49">
        <f t="shared" si="18"/>
        <v>0</v>
      </c>
      <c r="V17" s="54">
        <v>1.3333333333333333</v>
      </c>
      <c r="W17" s="13">
        <f t="shared" si="21"/>
        <v>1522294.0232316926</v>
      </c>
      <c r="X17" s="25">
        <f t="shared" si="22"/>
        <v>670.0577847532129</v>
      </c>
    </row>
    <row r="18" spans="1:24" x14ac:dyDescent="0.2">
      <c r="A18" s="10">
        <v>15</v>
      </c>
      <c r="B18" s="15">
        <f t="shared" si="2"/>
        <v>835.66384027641652</v>
      </c>
      <c r="C18" s="27">
        <f t="shared" si="19"/>
        <v>286.29740407020512</v>
      </c>
      <c r="D18" s="19">
        <f t="shared" si="3"/>
        <v>0</v>
      </c>
      <c r="E18" s="20">
        <f t="shared" si="1"/>
        <v>122.5089395407512</v>
      </c>
      <c r="F18" s="27">
        <f t="shared" si="20"/>
        <v>134.32924828470831</v>
      </c>
      <c r="G18" s="19">
        <f t="shared" si="4"/>
        <v>91968.888422784075</v>
      </c>
      <c r="H18" s="20">
        <f t="shared" si="5"/>
        <v>50.582888632531244</v>
      </c>
      <c r="I18" s="27">
        <f t="shared" si="6"/>
        <v>86.479417486347984</v>
      </c>
      <c r="J18" s="19">
        <f t="shared" si="7"/>
        <v>266437.66712410114</v>
      </c>
      <c r="K18" s="20">
        <f t="shared" si="8"/>
        <v>26.273714396959974</v>
      </c>
      <c r="L18" s="27">
        <f t="shared" si="9"/>
        <v>32.328000919511389</v>
      </c>
      <c r="M18" s="19">
        <f t="shared" si="10"/>
        <v>320935.09074323915</v>
      </c>
      <c r="N18" s="20">
        <f t="shared" si="11"/>
        <v>4.9800272701537098</v>
      </c>
      <c r="O18" s="27">
        <f t="shared" si="12"/>
        <v>281.54900485209498</v>
      </c>
      <c r="P18" s="19">
        <f t="shared" si="13"/>
        <v>60238.530847324524</v>
      </c>
      <c r="Q18" s="23">
        <f t="shared" si="14"/>
        <v>114.45320860991662</v>
      </c>
      <c r="R18" s="27">
        <f t="shared" si="15"/>
        <v>179.01692438713263</v>
      </c>
      <c r="S18" s="19">
        <f t="shared" si="16"/>
        <v>0</v>
      </c>
      <c r="T18" s="23">
        <f t="shared" si="17"/>
        <v>0</v>
      </c>
      <c r="U18" s="49">
        <f t="shared" si="18"/>
        <v>0</v>
      </c>
      <c r="V18" s="54">
        <v>0.66666666666666663</v>
      </c>
      <c r="W18" s="13">
        <f t="shared" si="21"/>
        <v>739580.17713744892</v>
      </c>
      <c r="X18" s="25">
        <f t="shared" si="22"/>
        <v>318.79877845031274</v>
      </c>
    </row>
    <row r="19" spans="1:24" x14ac:dyDescent="0.2">
      <c r="A19" s="10">
        <v>16</v>
      </c>
      <c r="B19" s="15">
        <f t="shared" si="2"/>
        <v>820.98307561286776</v>
      </c>
      <c r="C19" s="27">
        <f t="shared" si="19"/>
        <v>263.39361174458872</v>
      </c>
      <c r="D19" s="19">
        <f t="shared" si="3"/>
        <v>0</v>
      </c>
      <c r="E19" s="20">
        <f t="shared" si="1"/>
        <v>218.850921121342</v>
      </c>
      <c r="F19" s="27">
        <f t="shared" si="20"/>
        <v>134.10775294809756</v>
      </c>
      <c r="G19" s="19">
        <f t="shared" si="4"/>
        <v>178285.90491808686</v>
      </c>
      <c r="H19" s="20">
        <f t="shared" si="5"/>
        <v>98.05724770494777</v>
      </c>
      <c r="I19" s="27">
        <f t="shared" si="6"/>
        <v>86.74037369026405</v>
      </c>
      <c r="J19" s="19">
        <f t="shared" si="7"/>
        <v>518915.83852195949</v>
      </c>
      <c r="K19" s="20">
        <f t="shared" si="8"/>
        <v>51.170867409804337</v>
      </c>
      <c r="L19" s="27">
        <f t="shared" si="9"/>
        <v>31.998887123409943</v>
      </c>
      <c r="M19" s="19">
        <f t="shared" si="10"/>
        <v>616830.72839169472</v>
      </c>
      <c r="N19" s="20">
        <f t="shared" si="11"/>
        <v>9.5715113026297445</v>
      </c>
      <c r="O19" s="27">
        <f t="shared" si="12"/>
        <v>290.19484969272742</v>
      </c>
      <c r="P19" s="19">
        <f t="shared" si="13"/>
        <v>120559.89084030539</v>
      </c>
      <c r="Q19" s="23">
        <f t="shared" si="14"/>
        <v>229.06379259658021</v>
      </c>
      <c r="R19" s="27">
        <f t="shared" si="15"/>
        <v>193.56452480091275</v>
      </c>
      <c r="S19" s="19">
        <f t="shared" si="16"/>
        <v>0</v>
      </c>
      <c r="T19" s="23">
        <f t="shared" si="17"/>
        <v>0</v>
      </c>
      <c r="U19" s="49">
        <f t="shared" si="18"/>
        <v>0</v>
      </c>
      <c r="V19" s="54">
        <v>1.3333333333333333</v>
      </c>
      <c r="W19" s="13">
        <f t="shared" si="21"/>
        <v>1434592.3626720465</v>
      </c>
      <c r="X19" s="25">
        <f t="shared" si="22"/>
        <v>606.71434013530404</v>
      </c>
    </row>
    <row r="20" spans="1:24" x14ac:dyDescent="0.2">
      <c r="A20" s="10">
        <v>17</v>
      </c>
      <c r="B20" s="15">
        <f t="shared" si="2"/>
        <v>806.4354751990877</v>
      </c>
      <c r="C20" s="27">
        <f t="shared" si="19"/>
        <v>242.32212280502165</v>
      </c>
      <c r="D20" s="19">
        <f t="shared" si="3"/>
        <v>0</v>
      </c>
      <c r="E20" s="20">
        <f t="shared" si="1"/>
        <v>97.739246326036238</v>
      </c>
      <c r="F20" s="27">
        <f t="shared" si="20"/>
        <v>133.69622365727881</v>
      </c>
      <c r="G20" s="19">
        <f t="shared" si="4"/>
        <v>86280.974997327401</v>
      </c>
      <c r="H20" s="20">
        <f t="shared" si="5"/>
        <v>47.454536248530069</v>
      </c>
      <c r="I20" s="27">
        <f t="shared" si="6"/>
        <v>86.832558584666828</v>
      </c>
      <c r="J20" s="19">
        <f t="shared" si="7"/>
        <v>252168.60469681438</v>
      </c>
      <c r="K20" s="20">
        <f t="shared" si="8"/>
        <v>24.866626296491418</v>
      </c>
      <c r="L20" s="27">
        <f t="shared" si="9"/>
        <v>31.644435732690468</v>
      </c>
      <c r="M20" s="19">
        <f t="shared" si="10"/>
        <v>296115.58245062095</v>
      </c>
      <c r="N20" s="20">
        <f t="shared" si="11"/>
        <v>4.5948969690613595</v>
      </c>
      <c r="O20" s="27">
        <f t="shared" si="12"/>
        <v>297.54063521389548</v>
      </c>
      <c r="P20" s="19">
        <f t="shared" si="13"/>
        <v>60005.65920383553</v>
      </c>
      <c r="Q20" s="23">
        <f t="shared" si="14"/>
        <v>114.01075248728753</v>
      </c>
      <c r="R20" s="27">
        <f t="shared" si="15"/>
        <v>207.96402400644723</v>
      </c>
      <c r="S20" s="19">
        <f t="shared" si="16"/>
        <v>0</v>
      </c>
      <c r="T20" s="23">
        <f t="shared" si="17"/>
        <v>0</v>
      </c>
      <c r="U20" s="49">
        <f t="shared" si="18"/>
        <v>0</v>
      </c>
      <c r="V20" s="54">
        <v>0.66666666666666663</v>
      </c>
      <c r="W20" s="13">
        <f t="shared" si="21"/>
        <v>694570.82134859823</v>
      </c>
      <c r="X20" s="25">
        <f t="shared" si="22"/>
        <v>288.66605832740663</v>
      </c>
    </row>
    <row r="21" spans="1:24" x14ac:dyDescent="0.2">
      <c r="A21" s="10">
        <v>18</v>
      </c>
      <c r="B21" s="15">
        <f t="shared" si="2"/>
        <v>792.03597599355317</v>
      </c>
      <c r="C21" s="27">
        <f t="shared" si="19"/>
        <v>222.93635298061992</v>
      </c>
      <c r="D21" s="19">
        <f t="shared" si="3"/>
        <v>0</v>
      </c>
      <c r="E21" s="20">
        <f t="shared" si="1"/>
        <v>174.60214877660846</v>
      </c>
      <c r="F21" s="27">
        <f t="shared" si="20"/>
        <v>133.11434296810521</v>
      </c>
      <c r="G21" s="19">
        <f t="shared" si="4"/>
        <v>166806.71414581215</v>
      </c>
      <c r="H21" s="20">
        <f t="shared" si="5"/>
        <v>91.743692780196668</v>
      </c>
      <c r="I21" s="27">
        <f t="shared" si="6"/>
        <v>86.774853519957702</v>
      </c>
      <c r="J21" s="19">
        <f t="shared" si="7"/>
        <v>489322.37792943325</v>
      </c>
      <c r="K21" s="20">
        <f t="shared" si="8"/>
        <v>48.252623379152446</v>
      </c>
      <c r="L21" s="27">
        <f t="shared" si="9"/>
        <v>31.270322882095474</v>
      </c>
      <c r="M21" s="19">
        <f t="shared" si="10"/>
        <v>568184.05561762687</v>
      </c>
      <c r="N21" s="20">
        <f t="shared" si="11"/>
        <v>8.8166491388942099</v>
      </c>
      <c r="O21" s="27">
        <f t="shared" si="12"/>
        <v>303.70010756306425</v>
      </c>
      <c r="P21" s="19">
        <f t="shared" si="13"/>
        <v>118927.87034335265</v>
      </c>
      <c r="Q21" s="23">
        <f t="shared" si="14"/>
        <v>225.96295365237003</v>
      </c>
      <c r="R21" s="27">
        <f t="shared" si="15"/>
        <v>222.20402008615795</v>
      </c>
      <c r="S21" s="19">
        <f t="shared" si="16"/>
        <v>0</v>
      </c>
      <c r="T21" s="23">
        <f t="shared" si="17"/>
        <v>0</v>
      </c>
      <c r="U21" s="49">
        <f t="shared" si="18"/>
        <v>0</v>
      </c>
      <c r="V21" s="54">
        <v>1.3333333333333333</v>
      </c>
      <c r="W21" s="13">
        <f t="shared" si="21"/>
        <v>1343241.0180362249</v>
      </c>
      <c r="X21" s="25">
        <f t="shared" si="22"/>
        <v>549.37806772722183</v>
      </c>
    </row>
    <row r="22" spans="1:24" x14ac:dyDescent="0.2">
      <c r="A22" s="10">
        <v>19</v>
      </c>
      <c r="B22" s="15">
        <f t="shared" si="2"/>
        <v>777.79597991384253</v>
      </c>
      <c r="C22" s="27">
        <f t="shared" si="19"/>
        <v>205.10144474217034</v>
      </c>
      <c r="D22" s="19">
        <f t="shared" si="3"/>
        <v>0</v>
      </c>
      <c r="E22" s="20">
        <f t="shared" si="1"/>
        <v>77.977658676931924</v>
      </c>
      <c r="F22" s="27">
        <f t="shared" si="20"/>
        <v>132.37989401060372</v>
      </c>
      <c r="G22" s="19">
        <f t="shared" si="4"/>
        <v>80527.364037430336</v>
      </c>
      <c r="H22" s="20">
        <f t="shared" si="5"/>
        <v>44.290050220586679</v>
      </c>
      <c r="I22" s="27">
        <f t="shared" si="6"/>
        <v>86.583594990655513</v>
      </c>
      <c r="J22" s="19">
        <f t="shared" si="7"/>
        <v>237011.58899670636</v>
      </c>
      <c r="K22" s="20">
        <f t="shared" si="8"/>
        <v>23.371976137175206</v>
      </c>
      <c r="L22" s="27">
        <f t="shared" si="9"/>
        <v>30.880752998847591</v>
      </c>
      <c r="M22" s="19">
        <f t="shared" si="10"/>
        <v>272381.33122534596</v>
      </c>
      <c r="N22" s="20">
        <f t="shared" si="11"/>
        <v>4.2266068638415755</v>
      </c>
      <c r="O22" s="27">
        <f t="shared" si="12"/>
        <v>308.77864787462244</v>
      </c>
      <c r="P22" s="19">
        <f t="shared" si="13"/>
        <v>58697.38275359229</v>
      </c>
      <c r="Q22" s="23">
        <f t="shared" si="14"/>
        <v>111.52502723182535</v>
      </c>
      <c r="R22" s="27">
        <f t="shared" si="15"/>
        <v>236.27566538310091</v>
      </c>
      <c r="S22" s="19">
        <f t="shared" si="16"/>
        <v>0</v>
      </c>
      <c r="T22" s="23">
        <f t="shared" si="17"/>
        <v>0</v>
      </c>
      <c r="U22" s="49">
        <f t="shared" si="18"/>
        <v>0</v>
      </c>
      <c r="V22" s="54">
        <v>0.66666666666666663</v>
      </c>
      <c r="W22" s="13">
        <f t="shared" si="21"/>
        <v>648617.66701307497</v>
      </c>
      <c r="X22" s="25">
        <f t="shared" si="22"/>
        <v>261.39131913036073</v>
      </c>
    </row>
    <row r="23" spans="1:24" x14ac:dyDescent="0.2">
      <c r="A23" s="10">
        <v>20</v>
      </c>
      <c r="B23" s="15">
        <f t="shared" si="2"/>
        <v>763.72433461689957</v>
      </c>
      <c r="C23" s="27">
        <f t="shared" si="19"/>
        <v>188.69332916279672</v>
      </c>
      <c r="D23" s="19">
        <f t="shared" si="3"/>
        <v>0</v>
      </c>
      <c r="E23" s="20">
        <f t="shared" si="1"/>
        <v>139.29989511218909</v>
      </c>
      <c r="F23" s="27">
        <f t="shared" si="20"/>
        <v>131.50904788099595</v>
      </c>
      <c r="G23" s="19">
        <f t="shared" si="4"/>
        <v>155335.19203805283</v>
      </c>
      <c r="H23" s="20">
        <f t="shared" si="5"/>
        <v>85.434355620929068</v>
      </c>
      <c r="I23" s="27">
        <f t="shared" si="6"/>
        <v>86.273145333970589</v>
      </c>
      <c r="J23" s="19">
        <f t="shared" si="7"/>
        <v>458566.54856460908</v>
      </c>
      <c r="K23" s="20">
        <f t="shared" si="8"/>
        <v>45.219756872343396</v>
      </c>
      <c r="L23" s="27">
        <f t="shared" si="9"/>
        <v>30.478930195443823</v>
      </c>
      <c r="M23" s="19">
        <f t="shared" si="10"/>
        <v>522013.75490122178</v>
      </c>
      <c r="N23" s="20">
        <f t="shared" si="11"/>
        <v>8.1002134381224078</v>
      </c>
      <c r="O23" s="27">
        <f t="shared" si="12"/>
        <v>312.87354319421115</v>
      </c>
      <c r="P23" s="19">
        <f t="shared" si="13"/>
        <v>115486.9966620038</v>
      </c>
      <c r="Q23" s="23">
        <f t="shared" si="14"/>
        <v>219.42529365780717</v>
      </c>
      <c r="R23" s="27">
        <f t="shared" si="15"/>
        <v>250.17200423258234</v>
      </c>
      <c r="S23" s="19">
        <f t="shared" si="16"/>
        <v>0</v>
      </c>
      <c r="T23" s="23">
        <f t="shared" si="17"/>
        <v>0</v>
      </c>
      <c r="U23" s="49">
        <f t="shared" si="18"/>
        <v>0</v>
      </c>
      <c r="V23" s="54">
        <v>1.3333333333333333</v>
      </c>
      <c r="W23" s="13">
        <f t="shared" si="21"/>
        <v>1251402.4921658873</v>
      </c>
      <c r="X23" s="25">
        <f t="shared" si="22"/>
        <v>497.47951470139117</v>
      </c>
    </row>
    <row r="24" spans="1:24" x14ac:dyDescent="0.2">
      <c r="A24" s="10">
        <v>21</v>
      </c>
      <c r="B24" s="15">
        <f t="shared" si="2"/>
        <v>749.82799576741832</v>
      </c>
      <c r="C24" s="27">
        <f t="shared" si="19"/>
        <v>173.59786282977299</v>
      </c>
      <c r="D24" s="19">
        <f t="shared" si="3"/>
        <v>0</v>
      </c>
      <c r="E24" s="20">
        <f t="shared" si="1"/>
        <v>62.21160364233689</v>
      </c>
      <c r="F24" s="27">
        <f t="shared" si="20"/>
        <v>130.51655916690686</v>
      </c>
      <c r="G24" s="19">
        <f t="shared" si="4"/>
        <v>74836.35399926739</v>
      </c>
      <c r="H24" s="20">
        <f t="shared" si="5"/>
        <v>41.159994699597064</v>
      </c>
      <c r="I24" s="27">
        <f t="shared" si="6"/>
        <v>85.856282241220626</v>
      </c>
      <c r="J24" s="19">
        <f t="shared" si="7"/>
        <v>221529.51528485905</v>
      </c>
      <c r="K24" s="20">
        <f t="shared" si="8"/>
        <v>21.845271646145822</v>
      </c>
      <c r="L24" s="27">
        <f t="shared" si="9"/>
        <v>30.067370189445466</v>
      </c>
      <c r="M24" s="19">
        <f t="shared" si="10"/>
        <v>249982.98620851125</v>
      </c>
      <c r="N24" s="20">
        <f t="shared" si="11"/>
        <v>3.8790463377182784</v>
      </c>
      <c r="O24" s="27">
        <f t="shared" si="12"/>
        <v>316.07440275212258</v>
      </c>
      <c r="P24" s="19">
        <f t="shared" si="13"/>
        <v>56635.188777597701</v>
      </c>
      <c r="Q24" s="23">
        <f t="shared" si="14"/>
        <v>107.60685867743561</v>
      </c>
      <c r="R24" s="27">
        <f t="shared" si="15"/>
        <v>263.88752282053207</v>
      </c>
      <c r="S24" s="19">
        <f t="shared" si="16"/>
        <v>0</v>
      </c>
      <c r="T24" s="23">
        <f t="shared" si="17"/>
        <v>0</v>
      </c>
      <c r="U24" s="49">
        <f t="shared" si="18"/>
        <v>0</v>
      </c>
      <c r="V24" s="54">
        <v>0.66666666666666663</v>
      </c>
      <c r="W24" s="13">
        <f t="shared" si="21"/>
        <v>602984.04427023546</v>
      </c>
      <c r="X24" s="25">
        <f t="shared" si="22"/>
        <v>236.70277500323365</v>
      </c>
    </row>
    <row r="25" spans="1:24" x14ac:dyDescent="0.2">
      <c r="A25" s="10">
        <v>22</v>
      </c>
      <c r="B25" s="15">
        <f t="shared" si="2"/>
        <v>736.11247717946856</v>
      </c>
      <c r="C25" s="27">
        <f t="shared" si="19"/>
        <v>159.71003380339116</v>
      </c>
      <c r="D25" s="19">
        <f t="shared" si="3"/>
        <v>0</v>
      </c>
      <c r="E25" s="20">
        <f t="shared" si="1"/>
        <v>111.13529194359209</v>
      </c>
      <c r="F25" s="27">
        <f t="shared" si="20"/>
        <v>129.41591098725141</v>
      </c>
      <c r="G25" s="19">
        <f t="shared" si="4"/>
        <v>144087.87933682071</v>
      </c>
      <c r="H25" s="20">
        <f t="shared" si="5"/>
        <v>79.248333635251385</v>
      </c>
      <c r="I25" s="27">
        <f t="shared" si="6"/>
        <v>85.34447116509692</v>
      </c>
      <c r="J25" s="19">
        <f t="shared" si="7"/>
        <v>427590.13913139974</v>
      </c>
      <c r="K25" s="20">
        <f t="shared" si="8"/>
        <v>42.165138719901911</v>
      </c>
      <c r="L25" s="27">
        <f t="shared" si="9"/>
        <v>29.648106059203556</v>
      </c>
      <c r="M25" s="19">
        <f t="shared" si="10"/>
        <v>478635.30913325492</v>
      </c>
      <c r="N25" s="20">
        <f t="shared" si="11"/>
        <v>7.4270996244815422</v>
      </c>
      <c r="O25" s="27">
        <f t="shared" si="12"/>
        <v>318.46363857927503</v>
      </c>
      <c r="P25" s="19">
        <f t="shared" si="13"/>
        <v>110802.52318553712</v>
      </c>
      <c r="Q25" s="23">
        <f t="shared" si="14"/>
        <v>210.52479405252055</v>
      </c>
      <c r="R25" s="27">
        <f t="shared" si="15"/>
        <v>277.4178394057825</v>
      </c>
      <c r="S25" s="19">
        <f t="shared" si="16"/>
        <v>0</v>
      </c>
      <c r="T25" s="23">
        <f t="shared" si="17"/>
        <v>0</v>
      </c>
      <c r="U25" s="49">
        <f t="shared" si="18"/>
        <v>0</v>
      </c>
      <c r="V25" s="54">
        <v>1.3333333333333333</v>
      </c>
      <c r="W25" s="13">
        <f t="shared" si="21"/>
        <v>1161115.8507870126</v>
      </c>
      <c r="X25" s="25">
        <f t="shared" si="22"/>
        <v>450.50065797574746</v>
      </c>
    </row>
    <row r="26" spans="1:24" x14ac:dyDescent="0.2">
      <c r="A26" s="10">
        <v>23</v>
      </c>
      <c r="B26" s="15">
        <f t="shared" si="2"/>
        <v>722.58216059421807</v>
      </c>
      <c r="C26" s="27">
        <f t="shared" si="19"/>
        <v>146.93323109911987</v>
      </c>
      <c r="D26" s="19">
        <f t="shared" si="3"/>
        <v>0</v>
      </c>
      <c r="E26" s="20">
        <f t="shared" si="1"/>
        <v>49.633237178691623</v>
      </c>
      <c r="F26" s="27">
        <f t="shared" si="20"/>
        <v>128.21943124806532</v>
      </c>
      <c r="G26" s="19">
        <f t="shared" si="4"/>
        <v>69298.909655192794</v>
      </c>
      <c r="H26" s="20">
        <f t="shared" si="5"/>
        <v>38.114400310356039</v>
      </c>
      <c r="I26" s="27">
        <f t="shared" si="6"/>
        <v>84.748061705775044</v>
      </c>
      <c r="J26" s="19">
        <f t="shared" si="7"/>
        <v>206117.48909628869</v>
      </c>
      <c r="K26" s="20">
        <f t="shared" si="8"/>
        <v>20.325474619217356</v>
      </c>
      <c r="L26" s="27">
        <f t="shared" si="9"/>
        <v>29.222824042400227</v>
      </c>
      <c r="M26" s="19">
        <f t="shared" si="10"/>
        <v>229014.37356523494</v>
      </c>
      <c r="N26" s="20">
        <f t="shared" si="11"/>
        <v>3.5536713139433007</v>
      </c>
      <c r="O26" s="27">
        <f t="shared" si="12"/>
        <v>320.11696477221597</v>
      </c>
      <c r="P26" s="19">
        <f t="shared" si="13"/>
        <v>54066.874860813696</v>
      </c>
      <c r="Q26" s="23">
        <f t="shared" si="14"/>
        <v>102.727062235546</v>
      </c>
      <c r="R26" s="27">
        <f t="shared" si="15"/>
        <v>290.75948713242411</v>
      </c>
      <c r="S26" s="19">
        <f t="shared" si="16"/>
        <v>0</v>
      </c>
      <c r="T26" s="23">
        <f t="shared" si="17"/>
        <v>0</v>
      </c>
      <c r="U26" s="49">
        <f t="shared" si="18"/>
        <v>0</v>
      </c>
      <c r="V26" s="54">
        <v>0.66666666666666663</v>
      </c>
      <c r="W26" s="13">
        <f t="shared" si="21"/>
        <v>558497.6471775301</v>
      </c>
      <c r="X26" s="25">
        <f t="shared" si="22"/>
        <v>214.35384565775433</v>
      </c>
    </row>
    <row r="27" spans="1:24" x14ac:dyDescent="0.2">
      <c r="A27" s="10">
        <v>24</v>
      </c>
      <c r="B27" s="15">
        <f t="shared" si="2"/>
        <v>709.2405128675764</v>
      </c>
      <c r="C27" s="27">
        <f t="shared" si="19"/>
        <v>135.17857261119028</v>
      </c>
      <c r="D27" s="19">
        <f t="shared" si="3"/>
        <v>0</v>
      </c>
      <c r="E27" s="20">
        <f t="shared" si="1"/>
        <v>88.665200396886007</v>
      </c>
      <c r="F27" s="27">
        <f t="shared" si="20"/>
        <v>126.9383914287088</v>
      </c>
      <c r="G27" s="19">
        <f t="shared" si="4"/>
        <v>133216.59131829732</v>
      </c>
      <c r="H27" s="20">
        <f t="shared" si="5"/>
        <v>73.269125225063533</v>
      </c>
      <c r="I27" s="27">
        <f t="shared" si="6"/>
        <v>84.076434210984772</v>
      </c>
      <c r="J27" s="19">
        <f t="shared" si="7"/>
        <v>397056.33042732178</v>
      </c>
      <c r="K27" s="20">
        <f t="shared" si="8"/>
        <v>39.154165917138677</v>
      </c>
      <c r="L27" s="27">
        <f t="shared" si="9"/>
        <v>28.792953588057568</v>
      </c>
      <c r="M27" s="19">
        <f t="shared" si="10"/>
        <v>438146.70072093233</v>
      </c>
      <c r="N27" s="20">
        <f t="shared" si="11"/>
        <v>6.7988281146351559</v>
      </c>
      <c r="O27" s="27">
        <f t="shared" si="12"/>
        <v>321.10389020955489</v>
      </c>
      <c r="P27" s="19">
        <f t="shared" si="13"/>
        <v>105307.89097595862</v>
      </c>
      <c r="Q27" s="23">
        <f t="shared" si="14"/>
        <v>200.0849928543214</v>
      </c>
      <c r="R27" s="27">
        <f t="shared" si="15"/>
        <v>303.90975795150422</v>
      </c>
      <c r="S27" s="19">
        <f t="shared" si="16"/>
        <v>0</v>
      </c>
      <c r="T27" s="23">
        <f t="shared" si="17"/>
        <v>0</v>
      </c>
      <c r="U27" s="49">
        <f t="shared" si="18"/>
        <v>0</v>
      </c>
      <c r="V27" s="54">
        <v>1.3333333333333333</v>
      </c>
      <c r="W27" s="13">
        <f t="shared" si="21"/>
        <v>1073727.51344251</v>
      </c>
      <c r="X27" s="25">
        <f t="shared" si="22"/>
        <v>407.97231250804475</v>
      </c>
    </row>
    <row r="28" spans="1:24" x14ac:dyDescent="0.2">
      <c r="A28" s="10">
        <v>25</v>
      </c>
      <c r="B28" s="15">
        <f t="shared" si="2"/>
        <v>696.09024204849629</v>
      </c>
      <c r="C28" s="27">
        <f t="shared" si="19"/>
        <v>124.36428680229506</v>
      </c>
      <c r="D28" s="19">
        <f t="shared" si="3"/>
        <v>0</v>
      </c>
      <c r="E28" s="20">
        <f t="shared" si="1"/>
        <v>39.598050662686958</v>
      </c>
      <c r="F28" s="27">
        <f t="shared" si="20"/>
        <v>125.58309379072494</v>
      </c>
      <c r="G28" s="19">
        <f t="shared" si="4"/>
        <v>63977.797332863549</v>
      </c>
      <c r="H28" s="20">
        <f t="shared" si="5"/>
        <v>35.187788533074951</v>
      </c>
      <c r="I28" s="27">
        <f t="shared" si="6"/>
        <v>83.338113311566175</v>
      </c>
      <c r="J28" s="19">
        <f t="shared" si="7"/>
        <v>191053.18583694362</v>
      </c>
      <c r="K28" s="20">
        <f t="shared" si="8"/>
        <v>18.839966936698609</v>
      </c>
      <c r="L28" s="27">
        <f t="shared" si="9"/>
        <v>28.359727651788404</v>
      </c>
      <c r="M28" s="19">
        <f t="shared" si="10"/>
        <v>209492.34784421488</v>
      </c>
      <c r="N28" s="20">
        <f t="shared" si="11"/>
        <v>3.2507433286171272</v>
      </c>
      <c r="O28" s="27">
        <f t="shared" si="12"/>
        <v>321.48819137749581</v>
      </c>
      <c r="P28" s="19">
        <f t="shared" si="13"/>
        <v>51181.51688458342</v>
      </c>
      <c r="Q28" s="23">
        <f t="shared" si="14"/>
        <v>97.244882080708493</v>
      </c>
      <c r="R28" s="27">
        <f t="shared" si="15"/>
        <v>316.86658706613014</v>
      </c>
      <c r="S28" s="19">
        <f t="shared" si="16"/>
        <v>0</v>
      </c>
      <c r="T28" s="23">
        <f t="shared" si="17"/>
        <v>0</v>
      </c>
      <c r="U28" s="49">
        <f t="shared" si="18"/>
        <v>0</v>
      </c>
      <c r="V28" s="54">
        <v>0.66666666666666663</v>
      </c>
      <c r="W28" s="13">
        <f t="shared" si="21"/>
        <v>515704.84789860545</v>
      </c>
      <c r="X28" s="25">
        <f t="shared" si="22"/>
        <v>194.12143154178614</v>
      </c>
    </row>
    <row r="29" spans="1:24" x14ac:dyDescent="0.2">
      <c r="A29" s="10">
        <v>26</v>
      </c>
      <c r="B29" s="15">
        <f t="shared" si="2"/>
        <v>683.13341293387043</v>
      </c>
      <c r="C29" s="27">
        <f t="shared" si="19"/>
        <v>114.41514385811145</v>
      </c>
      <c r="D29" s="19">
        <f t="shared" si="3"/>
        <v>0</v>
      </c>
      <c r="E29" s="20">
        <f t="shared" si="1"/>
        <v>70.738265261499009</v>
      </c>
      <c r="F29" s="27">
        <f t="shared" si="20"/>
        <v>124.16295010741386</v>
      </c>
      <c r="G29" s="19">
        <f t="shared" si="4"/>
        <v>122823.90465710484</v>
      </c>
      <c r="H29" s="20">
        <f t="shared" si="5"/>
        <v>67.55314756140767</v>
      </c>
      <c r="I29" s="27">
        <f t="shared" si="6"/>
        <v>82.540859053522325</v>
      </c>
      <c r="J29" s="19">
        <f t="shared" si="7"/>
        <v>367428.1069570852</v>
      </c>
      <c r="K29" s="20">
        <f t="shared" si="8"/>
        <v>36.232493880490345</v>
      </c>
      <c r="L29" s="27">
        <f t="shared" si="9"/>
        <v>27.924223690652077</v>
      </c>
      <c r="M29" s="19">
        <f t="shared" si="10"/>
        <v>400534.55306868651</v>
      </c>
      <c r="N29" s="20">
        <f t="shared" si="11"/>
        <v>6.2151913407209971</v>
      </c>
      <c r="O29" s="27">
        <f t="shared" si="12"/>
        <v>321.32835878086593</v>
      </c>
      <c r="P29" s="19">
        <f t="shared" si="13"/>
        <v>99332.177162103719</v>
      </c>
      <c r="Q29" s="23">
        <f t="shared" si="14"/>
        <v>188.73113660799706</v>
      </c>
      <c r="R29" s="27">
        <f t="shared" si="15"/>
        <v>329.62846450943493</v>
      </c>
      <c r="S29" s="19">
        <f t="shared" si="16"/>
        <v>0</v>
      </c>
      <c r="T29" s="23">
        <f t="shared" si="17"/>
        <v>0</v>
      </c>
      <c r="U29" s="49">
        <f t="shared" si="18"/>
        <v>0</v>
      </c>
      <c r="V29" s="54">
        <v>1.3333333333333333</v>
      </c>
      <c r="W29" s="13">
        <f t="shared" si="21"/>
        <v>990118.74184498028</v>
      </c>
      <c r="X29" s="25">
        <f t="shared" si="22"/>
        <v>369.4702346521151</v>
      </c>
    </row>
    <row r="30" spans="1:24" x14ac:dyDescent="0.2">
      <c r="A30" s="10">
        <v>27</v>
      </c>
      <c r="B30" s="15">
        <f t="shared" si="2"/>
        <v>670.37153549056563</v>
      </c>
      <c r="C30" s="27">
        <f t="shared" si="19"/>
        <v>105.26193234946254</v>
      </c>
      <c r="D30" s="19">
        <f t="shared" si="3"/>
        <v>0</v>
      </c>
      <c r="E30" s="20">
        <f t="shared" si="1"/>
        <v>31.591846621640347</v>
      </c>
      <c r="F30" s="27">
        <f t="shared" si="20"/>
        <v>122.6865535934873</v>
      </c>
      <c r="G30" s="19">
        <f t="shared" si="4"/>
        <v>58914.286631872172</v>
      </c>
      <c r="H30" s="20">
        <f t="shared" si="5"/>
        <v>32.402857647529693</v>
      </c>
      <c r="I30" s="27">
        <f t="shared" si="6"/>
        <v>81.691742443592915</v>
      </c>
      <c r="J30" s="19">
        <f t="shared" si="7"/>
        <v>176528.2962937087</v>
      </c>
      <c r="K30" s="20">
        <f t="shared" si="8"/>
        <v>17.407651440074051</v>
      </c>
      <c r="L30" s="27">
        <f t="shared" si="9"/>
        <v>27.487392141935501</v>
      </c>
      <c r="M30" s="19">
        <f t="shared" si="10"/>
        <v>191392.62416064832</v>
      </c>
      <c r="N30" s="20">
        <f t="shared" si="11"/>
        <v>2.9698855473204051</v>
      </c>
      <c r="O30" s="27">
        <f t="shared" si="12"/>
        <v>320.67801430129396</v>
      </c>
      <c r="P30" s="19">
        <f t="shared" si="13"/>
        <v>48121.910821022437</v>
      </c>
      <c r="Q30" s="23">
        <f t="shared" si="14"/>
        <v>91.431630559942633</v>
      </c>
      <c r="R30" s="27">
        <f t="shared" si="15"/>
        <v>342.19436517022837</v>
      </c>
      <c r="S30" s="19">
        <f t="shared" si="16"/>
        <v>0</v>
      </c>
      <c r="T30" s="23">
        <f t="shared" si="17"/>
        <v>0</v>
      </c>
      <c r="U30" s="49">
        <f t="shared" si="18"/>
        <v>0</v>
      </c>
      <c r="V30" s="54">
        <v>0.66666666666666663</v>
      </c>
      <c r="W30" s="13">
        <f t="shared" si="21"/>
        <v>474957.1179072517</v>
      </c>
      <c r="X30" s="25">
        <f t="shared" si="22"/>
        <v>175.80387181650713</v>
      </c>
    </row>
    <row r="31" spans="1:24" x14ac:dyDescent="0.2">
      <c r="A31" s="10">
        <v>28</v>
      </c>
      <c r="B31" s="15">
        <f t="shared" si="2"/>
        <v>657.8056348297722</v>
      </c>
      <c r="C31" s="27">
        <f t="shared" si="19"/>
        <v>96.840977761505542</v>
      </c>
      <c r="D31" s="19">
        <f t="shared" si="3"/>
        <v>0</v>
      </c>
      <c r="E31" s="20">
        <f t="shared" si="1"/>
        <v>56.435920178464308</v>
      </c>
      <c r="F31" s="27">
        <f t="shared" si="20"/>
        <v>121.16174500554891</v>
      </c>
      <c r="G31" s="19">
        <f t="shared" si="4"/>
        <v>112974.89517970846</v>
      </c>
      <c r="H31" s="20">
        <f t="shared" si="5"/>
        <v>62.13619234883965</v>
      </c>
      <c r="I31" s="27">
        <f t="shared" si="6"/>
        <v>80.797209794655217</v>
      </c>
      <c r="J31" s="19">
        <f t="shared" si="7"/>
        <v>339019.98837386502</v>
      </c>
      <c r="K31" s="20">
        <f t="shared" si="8"/>
        <v>33.431137742422806</v>
      </c>
      <c r="L31" s="27">
        <f t="shared" si="9"/>
        <v>27.050076761001314</v>
      </c>
      <c r="M31" s="19">
        <f t="shared" si="10"/>
        <v>365723.5541200724</v>
      </c>
      <c r="N31" s="20">
        <f t="shared" si="11"/>
        <v>5.6750206673804326</v>
      </c>
      <c r="O31" s="27">
        <f t="shared" si="12"/>
        <v>319.58629904319025</v>
      </c>
      <c r="P31" s="19">
        <f t="shared" si="13"/>
        <v>93122.494629033521</v>
      </c>
      <c r="Q31" s="23">
        <f t="shared" si="14"/>
        <v>176.93273979516368</v>
      </c>
      <c r="R31" s="27">
        <f t="shared" si="15"/>
        <v>354.56369163409931</v>
      </c>
      <c r="S31" s="19">
        <f t="shared" si="16"/>
        <v>0</v>
      </c>
      <c r="T31" s="23">
        <f t="shared" si="17"/>
        <v>0</v>
      </c>
      <c r="U31" s="49">
        <f t="shared" si="18"/>
        <v>0</v>
      </c>
      <c r="V31" s="54">
        <v>1.3333333333333333</v>
      </c>
      <c r="W31" s="13">
        <f t="shared" si="21"/>
        <v>910840.9323026794</v>
      </c>
      <c r="X31" s="25">
        <f t="shared" si="22"/>
        <v>334.61101073227087</v>
      </c>
    </row>
    <row r="32" spans="1:24" x14ac:dyDescent="0.2">
      <c r="A32" s="10">
        <v>29</v>
      </c>
      <c r="B32" s="15">
        <f t="shared" si="2"/>
        <v>645.43630836590125</v>
      </c>
      <c r="C32" s="27">
        <f t="shared" si="19"/>
        <v>89.093699540585106</v>
      </c>
      <c r="D32" s="19">
        <f t="shared" si="3"/>
        <v>0</v>
      </c>
      <c r="E32" s="20">
        <f t="shared" si="1"/>
        <v>25.20439153601319</v>
      </c>
      <c r="F32" s="27">
        <f t="shared" si="20"/>
        <v>119.59567353573387</v>
      </c>
      <c r="G32" s="19">
        <f t="shared" si="4"/>
        <v>54133.321612664076</v>
      </c>
      <c r="H32" s="20">
        <f t="shared" si="5"/>
        <v>29.773326886965247</v>
      </c>
      <c r="I32" s="27">
        <f t="shared" si="6"/>
        <v>79.86313872278771</v>
      </c>
      <c r="J32" s="19">
        <f t="shared" si="7"/>
        <v>162670.2355151317</v>
      </c>
      <c r="K32" s="20">
        <f t="shared" si="8"/>
        <v>16.041092668853263</v>
      </c>
      <c r="L32" s="27">
        <f t="shared" si="9"/>
        <v>26.613029627313995</v>
      </c>
      <c r="M32" s="19">
        <f t="shared" si="10"/>
        <v>174667.2677615573</v>
      </c>
      <c r="N32" s="20">
        <f t="shared" si="11"/>
        <v>2.7103541549207169</v>
      </c>
      <c r="O32" s="27">
        <f t="shared" si="12"/>
        <v>318.09823239702996</v>
      </c>
      <c r="P32" s="19">
        <f t="shared" si="13"/>
        <v>44994.609257393313</v>
      </c>
      <c r="Q32" s="23">
        <f t="shared" si="14"/>
        <v>85.489757589047287</v>
      </c>
      <c r="R32" s="27">
        <f t="shared" si="15"/>
        <v>366.73622617654991</v>
      </c>
      <c r="S32" s="19">
        <f t="shared" si="16"/>
        <v>0</v>
      </c>
      <c r="T32" s="23">
        <f t="shared" si="17"/>
        <v>0</v>
      </c>
      <c r="U32" s="49">
        <f t="shared" si="18"/>
        <v>0</v>
      </c>
      <c r="V32" s="54">
        <v>0.66666666666666663</v>
      </c>
      <c r="W32" s="13">
        <f t="shared" si="21"/>
        <v>436465.43414674641</v>
      </c>
      <c r="X32" s="25">
        <f t="shared" si="22"/>
        <v>159.21892283579973</v>
      </c>
    </row>
    <row r="33" spans="1:24" ht="16" thickBot="1" x14ac:dyDescent="0.25">
      <c r="A33" s="11">
        <v>30</v>
      </c>
      <c r="B33" s="16">
        <f t="shared" si="2"/>
        <v>633.26377382345072</v>
      </c>
      <c r="C33" s="28">
        <f t="shared" si="19"/>
        <v>81.966203577338305</v>
      </c>
      <c r="D33" s="21">
        <f t="shared" si="3"/>
        <v>0</v>
      </c>
      <c r="E33" s="22">
        <f t="shared" si="1"/>
        <v>11.256330200549581</v>
      </c>
      <c r="F33" s="28">
        <f t="shared" si="20"/>
        <v>117.99485295109865</v>
      </c>
      <c r="G33" s="21">
        <f t="shared" si="4"/>
        <v>25926.56912366884</v>
      </c>
      <c r="H33" s="22">
        <f t="shared" si="5"/>
        <v>14.259613018017863</v>
      </c>
      <c r="I33" s="28">
        <f t="shared" si="6"/>
        <v>78.894887679274916</v>
      </c>
      <c r="J33" s="21">
        <f t="shared" si="7"/>
        <v>78008.757881654208</v>
      </c>
      <c r="K33" s="22">
        <f t="shared" si="8"/>
        <v>7.692530291107567</v>
      </c>
      <c r="L33" s="28">
        <f t="shared" si="9"/>
        <v>26.176922617481004</v>
      </c>
      <c r="M33" s="21">
        <f t="shared" si="10"/>
        <v>83400.485379990641</v>
      </c>
      <c r="N33" s="22">
        <f t="shared" si="11"/>
        <v>1.2941454627929581</v>
      </c>
      <c r="O33" s="28">
        <f t="shared" si="12"/>
        <v>316.25504366596647</v>
      </c>
      <c r="P33" s="21">
        <f t="shared" si="13"/>
        <v>21715.481770083861</v>
      </c>
      <c r="Q33" s="24">
        <f t="shared" si="14"/>
        <v>41.259415363159334</v>
      </c>
      <c r="R33" s="28">
        <f t="shared" si="15"/>
        <v>378.71208950884119</v>
      </c>
      <c r="S33" s="21">
        <f t="shared" si="16"/>
        <v>0</v>
      </c>
      <c r="T33" s="24">
        <f t="shared" si="17"/>
        <v>0</v>
      </c>
      <c r="U33" s="49">
        <f t="shared" si="18"/>
        <v>0</v>
      </c>
      <c r="V33" s="54">
        <v>0.33333333333333331</v>
      </c>
      <c r="W33" s="13">
        <f t="shared" si="21"/>
        <v>209051.29415539754</v>
      </c>
      <c r="X33" s="25">
        <f t="shared" si="22"/>
        <v>75.762034335627305</v>
      </c>
    </row>
    <row r="34" spans="1:24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29" t="s">
        <v>80</v>
      </c>
      <c r="V34" s="53"/>
      <c r="W34" s="30">
        <f>SUM(W3:W33)</f>
        <v>28610742.461703055</v>
      </c>
      <c r="X34" s="31">
        <f>SUM(X3:X33)</f>
        <v>15290.818231828654</v>
      </c>
    </row>
    <row r="35" spans="1:24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8"/>
      <c r="V35" s="8"/>
      <c r="W35" s="7"/>
      <c r="X35" s="6"/>
    </row>
    <row r="36" spans="1:24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8"/>
      <c r="V36" s="8"/>
      <c r="W36" s="7"/>
      <c r="X36" s="6"/>
    </row>
    <row r="37" spans="1:24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8"/>
      <c r="V37" s="8"/>
      <c r="W37" s="7"/>
      <c r="X37" s="6"/>
    </row>
    <row r="38" spans="1:24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8"/>
      <c r="V38" s="8"/>
      <c r="W38" s="7"/>
      <c r="X38" s="6"/>
    </row>
    <row r="39" spans="1:24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8"/>
      <c r="V39" s="8"/>
      <c r="W39" s="7"/>
      <c r="X39" s="6"/>
    </row>
    <row r="40" spans="1:24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8"/>
      <c r="V40" s="8"/>
      <c r="W40" s="7"/>
      <c r="X40" s="6"/>
    </row>
    <row r="41" spans="1:24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8"/>
      <c r="V41" s="8"/>
      <c r="W41" s="7"/>
      <c r="X41" s="6"/>
    </row>
    <row r="42" spans="1:24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8"/>
      <c r="V42" s="8"/>
      <c r="W42" s="7"/>
      <c r="X42" s="6"/>
    </row>
    <row r="43" spans="1:24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8"/>
      <c r="V43" s="8"/>
      <c r="W43" s="7"/>
      <c r="X43" s="6"/>
    </row>
    <row r="44" spans="1:24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8"/>
      <c r="V44" s="8"/>
      <c r="W44" s="7"/>
      <c r="X44" s="6"/>
    </row>
    <row r="45" spans="1:24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8"/>
      <c r="V45" s="8"/>
      <c r="W45" s="7"/>
      <c r="X45" s="6"/>
    </row>
    <row r="46" spans="1:24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8"/>
      <c r="V46" s="8"/>
      <c r="W46" s="7"/>
      <c r="X46" s="6"/>
    </row>
    <row r="47" spans="1:24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8"/>
      <c r="V47" s="8"/>
      <c r="W47" s="7"/>
      <c r="X47" s="6"/>
    </row>
    <row r="48" spans="1:24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8"/>
      <c r="V48" s="8"/>
      <c r="W48" s="7"/>
      <c r="X48" s="6"/>
    </row>
    <row r="49" spans="2:24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8"/>
      <c r="V49" s="8"/>
      <c r="W49" s="7"/>
      <c r="X49" s="6"/>
    </row>
    <row r="50" spans="2:24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8"/>
      <c r="V50" s="8"/>
      <c r="W50" s="7"/>
      <c r="X50" s="6"/>
    </row>
    <row r="51" spans="2:24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8"/>
      <c r="V51" s="8"/>
      <c r="W51" s="7"/>
      <c r="X51" s="6"/>
    </row>
    <row r="52" spans="2:24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8"/>
      <c r="V52" s="8"/>
      <c r="W52" s="7"/>
      <c r="X52" s="6"/>
    </row>
    <row r="53" spans="2:24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8"/>
      <c r="V53" s="8"/>
      <c r="W53" s="7"/>
      <c r="X53" s="6"/>
    </row>
    <row r="54" spans="2:24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8"/>
      <c r="V54" s="8"/>
      <c r="W54" s="7"/>
      <c r="X54" s="6"/>
    </row>
    <row r="55" spans="2:24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8"/>
      <c r="V55" s="8"/>
      <c r="W55" s="7"/>
      <c r="X55" s="6"/>
    </row>
    <row r="56" spans="2:24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8"/>
      <c r="V56" s="8"/>
      <c r="W56" s="7"/>
      <c r="X56" s="6"/>
    </row>
    <row r="57" spans="2:24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8"/>
      <c r="V57" s="8"/>
      <c r="W57" s="7"/>
      <c r="X57" s="6"/>
    </row>
    <row r="58" spans="2:24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8"/>
      <c r="V58" s="8"/>
      <c r="W58" s="7"/>
      <c r="X58" s="6"/>
    </row>
    <row r="59" spans="2:24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8"/>
      <c r="V59" s="8"/>
      <c r="W59" s="7"/>
      <c r="X59" s="6"/>
    </row>
    <row r="60" spans="2:24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8"/>
      <c r="V60" s="8"/>
      <c r="W60" s="7"/>
      <c r="X60" s="6"/>
    </row>
    <row r="61" spans="2:24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8"/>
      <c r="V61" s="8"/>
      <c r="W61" s="7"/>
      <c r="X61" s="6"/>
    </row>
    <row r="62" spans="2:24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8"/>
      <c r="V62" s="8"/>
      <c r="W62" s="7"/>
      <c r="X62" s="6"/>
    </row>
    <row r="63" spans="2:24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8"/>
      <c r="V63" s="8"/>
      <c r="W63" s="7"/>
      <c r="X63" s="6"/>
    </row>
    <row r="64" spans="2:24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8"/>
      <c r="V64" s="8"/>
      <c r="W64" s="7"/>
      <c r="X64" s="6"/>
    </row>
    <row r="65" spans="2:24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8"/>
      <c r="V65" s="8"/>
      <c r="W65" s="7"/>
      <c r="X65" s="6"/>
    </row>
    <row r="66" spans="2:24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8"/>
      <c r="V66" s="8"/>
      <c r="W66" s="7"/>
      <c r="X66" s="6"/>
    </row>
    <row r="67" spans="2:24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8"/>
      <c r="V67" s="8"/>
      <c r="W67" s="7"/>
      <c r="X67" s="6"/>
    </row>
    <row r="68" spans="2:24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8"/>
      <c r="V68" s="8"/>
      <c r="W68" s="7"/>
      <c r="X68" s="6"/>
    </row>
    <row r="69" spans="2:24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8"/>
      <c r="V69" s="8"/>
      <c r="W69" s="7"/>
      <c r="X69" s="6"/>
    </row>
    <row r="70" spans="2:24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8"/>
      <c r="V70" s="8"/>
      <c r="W70" s="7"/>
      <c r="X70" s="6"/>
    </row>
    <row r="71" spans="2:24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8"/>
      <c r="V71" s="8"/>
      <c r="W71" s="7"/>
      <c r="X71" s="6"/>
    </row>
    <row r="72" spans="2:24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8"/>
      <c r="V72" s="8"/>
      <c r="W72" s="7"/>
      <c r="X72" s="6"/>
    </row>
    <row r="73" spans="2:24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8"/>
      <c r="V73" s="8"/>
      <c r="W73" s="7"/>
      <c r="X73" s="6"/>
    </row>
    <row r="74" spans="2:24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8"/>
      <c r="V74" s="8"/>
      <c r="W74" s="7"/>
      <c r="X74" s="6"/>
    </row>
    <row r="75" spans="2:24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8"/>
      <c r="V75" s="8"/>
      <c r="W75" s="7"/>
      <c r="X75" s="6"/>
    </row>
    <row r="76" spans="2:24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8"/>
      <c r="V76" s="8"/>
      <c r="W76" s="7"/>
      <c r="X76" s="6"/>
    </row>
    <row r="77" spans="2:24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8"/>
      <c r="V77" s="8"/>
      <c r="W77" s="7"/>
      <c r="X77" s="6"/>
    </row>
    <row r="78" spans="2:24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8"/>
      <c r="V78" s="8"/>
      <c r="W78" s="7"/>
      <c r="X78" s="6"/>
    </row>
    <row r="79" spans="2:24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8"/>
      <c r="V79" s="8"/>
      <c r="W79" s="7"/>
      <c r="X79" s="6"/>
    </row>
    <row r="80" spans="2:24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8"/>
      <c r="V80" s="8"/>
      <c r="W80" s="7"/>
      <c r="X80" s="6"/>
    </row>
    <row r="81" spans="2:24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8"/>
      <c r="V81" s="8"/>
      <c r="W81" s="7"/>
      <c r="X81" s="6"/>
    </row>
    <row r="82" spans="2:24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8"/>
      <c r="V82" s="8"/>
      <c r="W82" s="7"/>
      <c r="X82" s="6"/>
    </row>
    <row r="83" spans="2:24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8"/>
      <c r="V83" s="8"/>
      <c r="W83" s="7"/>
      <c r="X83" s="6"/>
    </row>
    <row r="84" spans="2:24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8"/>
      <c r="V84" s="8"/>
      <c r="W84" s="7"/>
      <c r="X84" s="6"/>
    </row>
    <row r="85" spans="2:24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8"/>
      <c r="V85" s="8"/>
      <c r="W85" s="7"/>
      <c r="X85" s="6"/>
    </row>
    <row r="86" spans="2:24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8"/>
      <c r="V86" s="8"/>
      <c r="W86" s="7"/>
      <c r="X86" s="6"/>
    </row>
    <row r="87" spans="2:24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8"/>
      <c r="V87" s="8"/>
      <c r="W87" s="7"/>
      <c r="X87" s="6"/>
    </row>
    <row r="88" spans="2:24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8"/>
      <c r="V88" s="8"/>
      <c r="W88" s="7"/>
      <c r="X88" s="6"/>
    </row>
    <row r="89" spans="2:24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8"/>
      <c r="V89" s="8"/>
      <c r="W89" s="7"/>
      <c r="X89" s="6"/>
    </row>
    <row r="90" spans="2:24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8"/>
      <c r="V90" s="8"/>
      <c r="W90" s="7"/>
      <c r="X90" s="6"/>
    </row>
    <row r="91" spans="2:24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8"/>
      <c r="V91" s="8"/>
      <c r="W91" s="7"/>
      <c r="X91" s="6"/>
    </row>
    <row r="92" spans="2:24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8"/>
      <c r="V92" s="8"/>
      <c r="W92" s="7"/>
      <c r="X92" s="6"/>
    </row>
    <row r="93" spans="2:24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8"/>
      <c r="V93" s="8"/>
      <c r="W93" s="7"/>
      <c r="X93" s="6"/>
    </row>
    <row r="94" spans="2:24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8"/>
      <c r="V94" s="8"/>
      <c r="W94" s="7"/>
      <c r="X94" s="6"/>
    </row>
    <row r="95" spans="2:24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8"/>
      <c r="V95" s="8"/>
      <c r="W95" s="7"/>
      <c r="X95" s="6"/>
    </row>
    <row r="96" spans="2:24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8"/>
      <c r="V96" s="8"/>
      <c r="W96" s="7"/>
      <c r="X96" s="6"/>
    </row>
    <row r="97" spans="2:24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8"/>
      <c r="V97" s="8"/>
      <c r="W97" s="7"/>
      <c r="X97" s="6"/>
    </row>
    <row r="98" spans="2:24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8"/>
      <c r="V98" s="8"/>
      <c r="W98" s="7"/>
      <c r="X98" s="6"/>
    </row>
    <row r="99" spans="2:24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8"/>
      <c r="V99" s="8"/>
      <c r="W99" s="7"/>
      <c r="X99" s="6"/>
    </row>
    <row r="100" spans="2:24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8"/>
      <c r="V100" s="8"/>
      <c r="W100" s="7"/>
      <c r="X100" s="6"/>
    </row>
    <row r="101" spans="2:24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8"/>
      <c r="V101" s="8"/>
      <c r="W101" s="7"/>
      <c r="X101" s="6"/>
    </row>
    <row r="102" spans="2:24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8"/>
      <c r="V102" s="8"/>
      <c r="W102" s="7"/>
      <c r="X102" s="6"/>
    </row>
    <row r="103" spans="2:24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8"/>
      <c r="V103" s="8"/>
      <c r="W103" s="7"/>
      <c r="X103" s="6"/>
    </row>
    <row r="104" spans="2:24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8"/>
      <c r="V104" s="8"/>
      <c r="W104" s="7"/>
      <c r="X104" s="6"/>
    </row>
    <row r="105" spans="2:24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8"/>
      <c r="V105" s="8"/>
      <c r="W105" s="7"/>
      <c r="X105" s="6"/>
    </row>
    <row r="106" spans="2:24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8"/>
      <c r="V106" s="8"/>
      <c r="W106" s="7"/>
      <c r="X106" s="6"/>
    </row>
    <row r="107" spans="2:24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8"/>
      <c r="V107" s="8"/>
      <c r="W107" s="7"/>
      <c r="X107" s="6"/>
    </row>
    <row r="108" spans="2:24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8"/>
      <c r="V108" s="8"/>
      <c r="W108" s="7"/>
      <c r="X108" s="6"/>
    </row>
    <row r="109" spans="2:24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8"/>
      <c r="V109" s="8"/>
      <c r="W109" s="7"/>
      <c r="X109" s="6"/>
    </row>
    <row r="110" spans="2:24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8"/>
      <c r="V110" s="8"/>
      <c r="W110" s="7"/>
      <c r="X110" s="6"/>
    </row>
    <row r="111" spans="2:24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8"/>
      <c r="V111" s="8"/>
      <c r="W111" s="7"/>
      <c r="X111" s="6"/>
    </row>
    <row r="112" spans="2:24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8"/>
      <c r="V112" s="8"/>
      <c r="W112" s="7"/>
      <c r="X112" s="6"/>
    </row>
    <row r="113" spans="2:24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8"/>
      <c r="V113" s="8"/>
      <c r="W113" s="7"/>
      <c r="X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9E20-C0FA-194C-8EFA-98BEDE732E0E}">
  <dimension ref="A1:Y113"/>
  <sheetViews>
    <sheetView workbookViewId="0">
      <selection activeCell="I39" sqref="I39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22.83203125" style="1" bestFit="1" customWidth="1"/>
    <col min="22" max="22" width="7.1640625" style="1" bestFit="1" customWidth="1"/>
    <col min="23" max="23" width="21.33203125" style="1" bestFit="1" customWidth="1"/>
    <col min="24" max="24" width="13.5" style="1" bestFit="1" customWidth="1"/>
    <col min="25" max="25" width="15" style="1" bestFit="1" customWidth="1"/>
    <col min="26" max="2001" width="8.83203125" style="1"/>
    <col min="2002" max="2002" width="2.33203125" style="1" customWidth="1"/>
    <col min="2003" max="16384" width="8.83203125" style="1"/>
  </cols>
  <sheetData>
    <row r="1" spans="1:25" x14ac:dyDescent="0.2">
      <c r="C1" s="216" t="s">
        <v>7</v>
      </c>
      <c r="D1" s="217"/>
      <c r="E1" s="218"/>
      <c r="F1" s="219" t="s">
        <v>8</v>
      </c>
      <c r="G1" s="220"/>
      <c r="H1" s="221"/>
      <c r="I1" s="222" t="s">
        <v>9</v>
      </c>
      <c r="J1" s="223"/>
      <c r="K1" s="224"/>
      <c r="L1" s="225" t="s">
        <v>10</v>
      </c>
      <c r="M1" s="226"/>
      <c r="N1" s="227"/>
      <c r="O1" s="228" t="s">
        <v>11</v>
      </c>
      <c r="P1" s="229"/>
      <c r="Q1" s="230"/>
      <c r="R1" s="213" t="s">
        <v>255</v>
      </c>
      <c r="S1" s="214"/>
      <c r="T1" s="215"/>
      <c r="U1" s="165" t="s">
        <v>256</v>
      </c>
    </row>
    <row r="2" spans="1:25" x14ac:dyDescent="0.2">
      <c r="A2" s="2" t="s">
        <v>3</v>
      </c>
      <c r="B2" s="4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5"/>
      <c r="V2" s="2" t="s">
        <v>13</v>
      </c>
      <c r="W2" s="2" t="s">
        <v>137</v>
      </c>
      <c r="X2" s="2" t="s">
        <v>14</v>
      </c>
      <c r="Y2" s="2" t="s">
        <v>15</v>
      </c>
    </row>
    <row r="3" spans="1:25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C3*uHealthy*W3/(1+discount_rate)^A3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17"/>
      <c r="V3" s="48">
        <f>SUM(C3,F3,I3,L3,O3,R3)-B3</f>
        <v>0</v>
      </c>
      <c r="W3" s="55">
        <v>0.33333333333333331</v>
      </c>
      <c r="X3" s="12">
        <f>SUM(D3,G3,J3,M3,P3,S3)</f>
        <v>0</v>
      </c>
      <c r="Y3" s="12">
        <f>SUM(E3,H3,K3,N3,Q3,T3)</f>
        <v>333.33333333333331</v>
      </c>
    </row>
    <row r="4" spans="1:25" x14ac:dyDescent="0.2">
      <c r="A4" s="10">
        <v>1</v>
      </c>
      <c r="B4" s="15">
        <f>SUM(C4,F4,I4,L4,O4)</f>
        <v>994.84021760779171</v>
      </c>
      <c r="C4" s="27">
        <f>(1-SUM(pHealthyStage1,pHealthyStage2,pHealthyStage3))*C3*(1-'Life Table - Female'!B58)</f>
        <v>915.25300019916835</v>
      </c>
      <c r="D4" s="19">
        <f t="shared" ref="D4:D33" si="2">C4*0*W4/(1+discount_rate)^A4</f>
        <v>0</v>
      </c>
      <c r="E4" s="20">
        <f t="shared" si="1"/>
        <v>592.39676388295686</v>
      </c>
      <c r="F4" s="27">
        <f>SUM(pHealthyStage1*C3,(1-SUM(pStage1Remission,pStage1Stage2))*F3,pStage2Stage1*I3,pRemissionStage1_trtA*O3)*(1-'Life Table - Female'!B58)</f>
        <v>49.742010880389586</v>
      </c>
      <c r="G4" s="19">
        <f t="shared" ref="G4:G33" si="3">F4*SUM(nVisitsStage1*cVisit,cTreatmentStage1)*W4/(1+discount_rate)^A4</f>
        <v>51512.762076778854</v>
      </c>
      <c r="H4" s="20">
        <f t="shared" ref="H4:H33" si="4">F4*uStage1*W4/(1+discount_rate)^A4</f>
        <v>28.332019142228372</v>
      </c>
      <c r="I4" s="27">
        <f>SUM(pHealthyStage2*C3,pStage1Stage2*F3,(1-SUM(pStage2Remission, pStage2Stage1, pStage2Stage3))*I3,pStage3Stage2*L3,pRemissionStage2_trtA*O3)*(1-'Life Table - Female'!B58)</f>
        <v>19.896804352155833</v>
      </c>
      <c r="J4" s="19">
        <f t="shared" ref="J4:J33" si="5">I4*SUM(nVisitsStage2*cVisit,cTreatmentStage2)*W4/(1+discount_rate)^A4</f>
        <v>92722.97173820193</v>
      </c>
      <c r="K4" s="20">
        <f t="shared" ref="K4:K33" si="6">I4*uStage2*W4/(1+discount_rate)^A4</f>
        <v>9.1435152686282457</v>
      </c>
      <c r="L4" s="27">
        <f>SUM(pHealthyStage3*C3,pStage2Stage3*I3,(1-SUM(pStage3Death, pStage3Stage2))*L3)*(1-'Life Table - Female'!B58)</f>
        <v>9.9484021760779164</v>
      </c>
      <c r="M4" s="19">
        <f t="shared" ref="M4:M33" si="7">L4*SUM(nVisitsStage3*cVisit,cTreatmentStage3)*W4/(1+discount_rate)^A4</f>
        <v>149387.01002265865</v>
      </c>
      <c r="N4" s="20">
        <f t="shared" ref="N4:N33" si="8">L4*uStage3*W4/(1+discount_rate)^A4</f>
        <v>2.3180742934550485</v>
      </c>
      <c r="O4" s="27">
        <f>SUM(pStage1Remission*F3,pStage2Remission*I3,(1-SUM(pRemissionStage1_trtA, pRemissionStage2_trtA))*O3)*(1-'Life Table - Female'!B58)</f>
        <v>0</v>
      </c>
      <c r="P4" s="19">
        <f t="shared" ref="P4:P33" si="9">O4*SUM(nVisitsRemission*cVisit, cTrtA)*W4/(1+discount_rate)^A4</f>
        <v>0</v>
      </c>
      <c r="Q4" s="20">
        <f t="shared" ref="Q4:Q33" si="10">O4*uRemission*W4/(1+discount_rate)^A4</f>
        <v>0</v>
      </c>
      <c r="R4" s="27">
        <f>SUM(pStage3Death*L3*(1-'Life Table - Female'!B58),R3)</f>
        <v>0</v>
      </c>
      <c r="S4" s="19">
        <f t="shared" ref="S4:S33" si="11">R4*0*W4/(1+discount_rate)^A4</f>
        <v>0</v>
      </c>
      <c r="T4" s="23">
        <f t="shared" ref="T4:T33" si="12">R4*0*W4/(1+discount_rate)^A4</f>
        <v>0</v>
      </c>
      <c r="U4" s="199">
        <f>SUM(B3*'Life Table - Female'!B58,U3)</f>
        <v>5.1597823922082648</v>
      </c>
      <c r="V4" s="49">
        <f>SUM(C4,F4,I4,L4,O4,R4-R3,U4-U3)-B3</f>
        <v>0</v>
      </c>
      <c r="W4" s="54">
        <v>0.66666666666666663</v>
      </c>
      <c r="X4" s="13">
        <f>SUM(D4,G4,J4,M4,P4,S4)</f>
        <v>293622.74383763946</v>
      </c>
      <c r="Y4" s="25">
        <f>SUM(E4,H4,K4,N4,Q4,T4)</f>
        <v>632.19037258726848</v>
      </c>
    </row>
    <row r="5" spans="1:25" x14ac:dyDescent="0.2">
      <c r="A5" s="10">
        <v>2</v>
      </c>
      <c r="B5" s="15">
        <f t="shared" ref="B5:B33" si="13">SUM(C5,F5,I5,L5,O5)</f>
        <v>984.84398469654582</v>
      </c>
      <c r="C5" s="27">
        <f>(1-SUM(pHealthyStage1,pHealthyStage2,pHealthyStage3))*C4*(1-'Life Table - Female'!B59)</f>
        <v>837.33997855063433</v>
      </c>
      <c r="D5" s="19">
        <f t="shared" si="2"/>
        <v>0</v>
      </c>
      <c r="E5" s="20">
        <f t="shared" si="1"/>
        <v>1052.364317781298</v>
      </c>
      <c r="F5" s="27">
        <f>SUM(pHealthyStage1*C4,(1-SUM(pStage1Remission,pStage1Stage2))*F4,pStage2Stage1*I4,pRemissionStage1_trtA*O4)*(1-'Life Table - Female'!B59)</f>
        <v>78.64901736150216</v>
      </c>
      <c r="G5" s="19">
        <f t="shared" si="3"/>
        <v>158153.04964766197</v>
      </c>
      <c r="H5" s="20">
        <f t="shared" si="4"/>
        <v>86.984177306214093</v>
      </c>
      <c r="I5" s="27">
        <f>SUM(pHealthyStage2*C4,pStage1Stage2*F4,(1-SUM(pStage2Remission, pStage2Stage1, pStage2Stage3))*I4,pStage3Stage2*L4,pRemissionStage2_trtA*O4)*(1-'Life Table - Female'!B59)</f>
        <v>35.515719789659464</v>
      </c>
      <c r="J5" s="19">
        <f t="shared" si="5"/>
        <v>321378.93296326784</v>
      </c>
      <c r="K5" s="20">
        <f t="shared" si="6"/>
        <v>31.691533667211132</v>
      </c>
      <c r="L5" s="27">
        <f>SUM(pHealthyStage3*C4,pStage2Stage3*I4,(1-SUM(pStage3Death, pStage3Stage2))*L4)*(1-'Life Table - Female'!B59)</f>
        <v>17.015888032928768</v>
      </c>
      <c r="M5" s="19">
        <f t="shared" si="7"/>
        <v>496143.0261902755</v>
      </c>
      <c r="N5" s="20">
        <f t="shared" si="8"/>
        <v>7.6987710960559967</v>
      </c>
      <c r="O5" s="27">
        <f>SUM(pStage1Remission*F4,pStage2Remission*I4,(1-SUM(pRemissionStage1_trtA, pRemissionStage2_trtA))*O4)*(1-'Life Table - Female'!B59)</f>
        <v>16.323380961821201</v>
      </c>
      <c r="P5" s="19">
        <f t="shared" si="9"/>
        <v>207202.8751869722</v>
      </c>
      <c r="Q5" s="20">
        <f t="shared" si="10"/>
        <v>19.489379349269662</v>
      </c>
      <c r="R5" s="27">
        <f>SUM(pStage3Death*L4*(1-'Life Table - Female'!B59),R4)</f>
        <v>4.4518311714057823</v>
      </c>
      <c r="S5" s="19">
        <f t="shared" si="11"/>
        <v>0</v>
      </c>
      <c r="T5" s="23">
        <f t="shared" si="12"/>
        <v>0</v>
      </c>
      <c r="U5" s="199">
        <f>SUM(B4*'Life Table - Female'!B59,U4)</f>
        <v>10.704184132048294</v>
      </c>
      <c r="V5" s="49">
        <f t="shared" ref="V5:V33" si="14">SUM(C5,F5,I5,L5,O5,R5-R4,U5-U4)-B4</f>
        <v>0</v>
      </c>
      <c r="W5" s="54">
        <v>1.3333333333333333</v>
      </c>
      <c r="X5" s="13">
        <f t="shared" ref="X5:Y33" si="15">SUM(D5,G5,J5,M5,P5,S5)</f>
        <v>1182877.8839881774</v>
      </c>
      <c r="Y5" s="25">
        <f t="shared" si="15"/>
        <v>1198.228179200049</v>
      </c>
    </row>
    <row r="6" spans="1:25" x14ac:dyDescent="0.2">
      <c r="A6" s="10">
        <v>3</v>
      </c>
      <c r="B6" s="15">
        <f t="shared" si="13"/>
        <v>971.29683323852032</v>
      </c>
      <c r="C6" s="27">
        <f>(1-SUM(pHealthyStage1,pHealthyStage2,pHealthyStage3))*C5*(1-'Life Table - Female'!B60)</f>
        <v>765.70947242329805</v>
      </c>
      <c r="D6" s="19">
        <f t="shared" si="2"/>
        <v>0</v>
      </c>
      <c r="E6" s="20">
        <f t="shared" si="1"/>
        <v>467.15509145059292</v>
      </c>
      <c r="F6" s="27">
        <f>SUM(pHealthyStage1*C5,(1-SUM(pStage1Remission,pStage1Stage2))*F5,pStage2Stage1*I5,pRemissionStage1_trtA*O5)*(1-'Life Table - Female'!B60)</f>
        <v>94.517951335229768</v>
      </c>
      <c r="G6" s="19">
        <f t="shared" si="3"/>
        <v>92263.802478488913</v>
      </c>
      <c r="H6" s="20">
        <f t="shared" si="4"/>
        <v>50.745091363168903</v>
      </c>
      <c r="I6" s="27">
        <f>SUM(pHealthyStage2*C5,pStage1Stage2*F5,(1-SUM(pStage2Remission, pStage2Stage1, pStage2Stage3))*I5,pStage3Stage2*L5,pRemissionStage2_trtA*O5)*(1-'Life Table - Female'!B60)</f>
        <v>46.652259313330269</v>
      </c>
      <c r="J6" s="19">
        <f t="shared" si="5"/>
        <v>204928.4448027598</v>
      </c>
      <c r="K6" s="20">
        <f t="shared" si="6"/>
        <v>20.208221640272143</v>
      </c>
      <c r="L6" s="27">
        <f>SUM(pHealthyStage3*C5,pStage2Stage3*I5,(1-SUM(pStage3Death, pStage3Stage2))*L5)*(1-'Life Table - Female'!B60)</f>
        <v>22.074838634254814</v>
      </c>
      <c r="M6" s="19">
        <f t="shared" si="7"/>
        <v>312451.48227917356</v>
      </c>
      <c r="N6" s="20">
        <f t="shared" si="8"/>
        <v>4.8483850698492441</v>
      </c>
      <c r="O6" s="27">
        <f>SUM(pStage1Remission*F5,pStage2Remission*I5,(1-SUM(pRemissionStage1_trtA, pRemissionStage2_trtA))*O5)*(1-'Life Table - Female'!B60)</f>
        <v>42.342311532407336</v>
      </c>
      <c r="P6" s="19">
        <f t="shared" si="9"/>
        <v>260911.3691265455</v>
      </c>
      <c r="Q6" s="20">
        <f t="shared" si="10"/>
        <v>24.541168383189923</v>
      </c>
      <c r="R6" s="27">
        <f>SUM(pStage3Death*L5*(1-'Life Table - Female'!B60),R5)</f>
        <v>12.062827252707056</v>
      </c>
      <c r="S6" s="19">
        <f t="shared" si="11"/>
        <v>0</v>
      </c>
      <c r="T6" s="23">
        <f t="shared" si="12"/>
        <v>0</v>
      </c>
      <c r="U6" s="199">
        <f>SUM(B5*'Life Table - Female'!B60,U5)</f>
        <v>16.640339508772712</v>
      </c>
      <c r="V6" s="49">
        <f t="shared" si="14"/>
        <v>0</v>
      </c>
      <c r="W6" s="54">
        <v>0.66666666666666663</v>
      </c>
      <c r="X6" s="13">
        <f t="shared" si="15"/>
        <v>870555.09868696774</v>
      </c>
      <c r="Y6" s="25">
        <f t="shared" si="15"/>
        <v>567.49795790707299</v>
      </c>
    </row>
    <row r="7" spans="1:25" x14ac:dyDescent="0.2">
      <c r="A7" s="10">
        <v>4</v>
      </c>
      <c r="B7" s="15">
        <f t="shared" si="13"/>
        <v>955.07682188946228</v>
      </c>
      <c r="C7" s="27">
        <f>(1-SUM(pHealthyStage1,pHealthyStage2,pHealthyStage3))*C6*(1-'Life Table - Female'!B61)</f>
        <v>699.84631277307642</v>
      </c>
      <c r="D7" s="19">
        <f t="shared" si="2"/>
        <v>0</v>
      </c>
      <c r="E7" s="20">
        <f t="shared" si="1"/>
        <v>829.07251257390749</v>
      </c>
      <c r="F7" s="27">
        <f>SUM(pHealthyStage1*C6,(1-SUM(pStage1Remission,pStage1Stage2))*F6,pStage2Stage1*I6,pRemissionStage1_trtA*O6)*(1-'Life Table - Female'!B61)</f>
        <v>102.228729725196</v>
      </c>
      <c r="G7" s="19">
        <f t="shared" si="3"/>
        <v>193768.32487618184</v>
      </c>
      <c r="H7" s="20">
        <f t="shared" si="4"/>
        <v>106.57257868190001</v>
      </c>
      <c r="I7" s="27">
        <f>SUM(pHealthyStage2*C6,pStage1Stage2*F6,(1-SUM(pStage2Remission, pStage2Stage1, pStage2Stage3))*I6,pStage3Stage2*L6,pRemissionStage2_trtA*O6)*(1-'Life Table - Female'!B61)</f>
        <v>53.929539950498253</v>
      </c>
      <c r="J7" s="19">
        <f t="shared" si="5"/>
        <v>459990.69836226624</v>
      </c>
      <c r="K7" s="20">
        <f t="shared" si="6"/>
        <v>45.360193866279033</v>
      </c>
      <c r="L7" s="27">
        <f>SUM(pHealthyStage3*C6,pStage2Stage3*I6,(1-SUM(pStage3Death, pStage3Stage2))*L6)*(1-'Life Table - Female'!B61)</f>
        <v>25.524351169310439</v>
      </c>
      <c r="M7" s="19">
        <f t="shared" si="7"/>
        <v>701507.84767054487</v>
      </c>
      <c r="N7" s="20">
        <f t="shared" si="8"/>
        <v>10.885466601784318</v>
      </c>
      <c r="O7" s="27">
        <f>SUM(pStage1Remission*F6,pStage2Remission*I6,(1-SUM(pRemissionStage1_trtA, pRemissionStage2_trtA))*O6)*(1-'Life Table - Female'!B61)</f>
        <v>73.547888271381169</v>
      </c>
      <c r="P7" s="19">
        <f t="shared" si="9"/>
        <v>879997.46122638811</v>
      </c>
      <c r="Q7" s="20">
        <f t="shared" si="10"/>
        <v>82.772038432184999</v>
      </c>
      <c r="R7" s="27">
        <f>SUM(pStage3Death*L6*(1-'Life Table - Female'!B61),R6)</f>
        <v>21.931548525385747</v>
      </c>
      <c r="S7" s="19">
        <f t="shared" si="11"/>
        <v>0</v>
      </c>
      <c r="T7" s="23">
        <f t="shared" si="12"/>
        <v>0</v>
      </c>
      <c r="U7" s="199">
        <f>SUM(B6*'Life Table - Female'!B61,U6)</f>
        <v>22.991629585152019</v>
      </c>
      <c r="V7" s="49">
        <f t="shared" si="14"/>
        <v>0</v>
      </c>
      <c r="W7" s="54">
        <v>1.3333333333333333</v>
      </c>
      <c r="X7" s="13">
        <f t="shared" si="15"/>
        <v>2235264.3321353812</v>
      </c>
      <c r="Y7" s="25">
        <f t="shared" si="15"/>
        <v>1074.6627901560557</v>
      </c>
    </row>
    <row r="8" spans="1:25" x14ac:dyDescent="0.2">
      <c r="A8" s="10">
        <v>5</v>
      </c>
      <c r="B8" s="15">
        <f t="shared" si="13"/>
        <v>936.88925340772073</v>
      </c>
      <c r="C8" s="27">
        <f>(1-SUM(pHealthyStage1,pHealthyStage2,pHealthyStage3))*C7*(1-'Life Table - Female'!B62)</f>
        <v>639.28576824753213</v>
      </c>
      <c r="D8" s="19">
        <f t="shared" si="2"/>
        <v>0</v>
      </c>
      <c r="E8" s="20">
        <f t="shared" si="1"/>
        <v>367.63567961473342</v>
      </c>
      <c r="F8" s="27">
        <f>SUM(pHealthyStage1*C7,(1-SUM(pStage1Remission,pStage1Stage2))*F7,pStage2Stage1*I7,pRemissionStage1_trtA*O7)*(1-'Life Table - Female'!B62)</f>
        <v>104.85836815670859</v>
      </c>
      <c r="G8" s="19">
        <f t="shared" si="3"/>
        <v>96481.866120709907</v>
      </c>
      <c r="H8" s="20">
        <f t="shared" si="4"/>
        <v>53.065026366390448</v>
      </c>
      <c r="I8" s="27">
        <f>SUM(pHealthyStage2*C7,pStage1Stage2*F7,(1-SUM(pStage2Remission, pStage2Stage1, pStage2Stage3))*I7,pStage3Stage2*L7,pRemissionStage2_trtA*O7)*(1-'Life Table - Female'!B62)</f>
        <v>58.173104835940798</v>
      </c>
      <c r="J8" s="19">
        <f t="shared" si="5"/>
        <v>240867.02998264044</v>
      </c>
      <c r="K8" s="20">
        <f t="shared" si="6"/>
        <v>23.752165456621491</v>
      </c>
      <c r="L8" s="27">
        <f>SUM(pHealthyStage3*C7,pStage2Stage3*I7,(1-SUM(pStage3Death, pStage3Stage2))*L7)*(1-'Life Table - Female'!B62)</f>
        <v>27.652271776355878</v>
      </c>
      <c r="M8" s="19">
        <f t="shared" si="7"/>
        <v>368927.83132342575</v>
      </c>
      <c r="N8" s="20">
        <f t="shared" si="8"/>
        <v>5.7247422101910894</v>
      </c>
      <c r="O8" s="27">
        <f>SUM(pStage1Remission*F7,pStage2Remission*I7,(1-SUM(pRemissionStage1_trtA, pRemissionStage2_trtA))*O7)*(1-'Life Table - Female'!B62)</f>
        <v>106.9197403911834</v>
      </c>
      <c r="P8" s="19">
        <f t="shared" si="9"/>
        <v>621014.70905576146</v>
      </c>
      <c r="Q8" s="20">
        <f t="shared" si="10"/>
        <v>58.41227461415577</v>
      </c>
      <c r="R8" s="27">
        <f>SUM(pStage3Death*L7*(1-'Life Table - Female'!B62),R7)</f>
        <v>33.335930500610736</v>
      </c>
      <c r="S8" s="19">
        <f t="shared" si="11"/>
        <v>0</v>
      </c>
      <c r="T8" s="23">
        <f t="shared" si="12"/>
        <v>0</v>
      </c>
      <c r="U8" s="199">
        <f>SUM(B7*'Life Table - Female'!B62,U7)</f>
        <v>29.77481609166863</v>
      </c>
      <c r="V8" s="49">
        <f t="shared" si="14"/>
        <v>0</v>
      </c>
      <c r="W8" s="54">
        <v>0.66666666666666663</v>
      </c>
      <c r="X8" s="13">
        <f t="shared" si="15"/>
        <v>1327291.4364825375</v>
      </c>
      <c r="Y8" s="25">
        <f t="shared" si="15"/>
        <v>508.58988826209219</v>
      </c>
    </row>
    <row r="9" spans="1:25" x14ac:dyDescent="0.2">
      <c r="A9" s="10">
        <v>6</v>
      </c>
      <c r="B9" s="15">
        <f t="shared" si="13"/>
        <v>917.31375190660845</v>
      </c>
      <c r="C9" s="27">
        <f>(1-SUM(pHealthyStage1,pHealthyStage2,pHealthyStage3))*C8*(1-'Life Table - Female'!B63)</f>
        <v>583.60546036149196</v>
      </c>
      <c r="D9" s="19">
        <f t="shared" si="2"/>
        <v>0</v>
      </c>
      <c r="E9" s="20">
        <f t="shared" si="1"/>
        <v>651.68051355648799</v>
      </c>
      <c r="F9" s="27">
        <f>SUM(pHealthyStage1*C8,(1-SUM(pStage1Remission,pStage1Stage2))*F8,pStage2Stage1*I8,pRemissionStage1_trtA*O8)*(1-'Life Table - Female'!B63)</f>
        <v>104.35791039373024</v>
      </c>
      <c r="G9" s="19">
        <f t="shared" si="3"/>
        <v>186449.29496565883</v>
      </c>
      <c r="H9" s="20">
        <f t="shared" si="4"/>
        <v>102.54711223111237</v>
      </c>
      <c r="I9" s="27">
        <f>SUM(pHealthyStage2*C8,pStage1Stage2*F8,(1-SUM(pStage2Remission, pStage2Stage1, pStage2Stage3))*I8,pStage3Stage2*L8,pRemissionStage2_trtA*O8)*(1-'Life Table - Female'!B63)</f>
        <v>60.159494870285776</v>
      </c>
      <c r="J9" s="19">
        <f t="shared" si="5"/>
        <v>483673.24650149193</v>
      </c>
      <c r="K9" s="20">
        <f t="shared" si="6"/>
        <v>47.695556252230446</v>
      </c>
      <c r="L9" s="27">
        <f>SUM(pHealthyStage3*C8,pStage2Stage3*I8,(1-SUM(pStage3Death, pStage3Stage2))*L8)*(1-'Life Table - Female'!B63)</f>
        <v>28.721652680254778</v>
      </c>
      <c r="M9" s="19">
        <f t="shared" si="7"/>
        <v>744068.2948520839</v>
      </c>
      <c r="N9" s="20">
        <f t="shared" si="8"/>
        <v>11.545887333911645</v>
      </c>
      <c r="O9" s="27">
        <f>SUM(pStage1Remission*F8,pStage2Remission*I8,(1-SUM(pRemissionStage1_trtA, pRemissionStage2_trtA))*O8)*(1-'Life Table - Female'!B63)</f>
        <v>140.46923360084563</v>
      </c>
      <c r="P9" s="19">
        <f t="shared" si="9"/>
        <v>1584229.0587469074</v>
      </c>
      <c r="Q9" s="20">
        <f t="shared" si="10"/>
        <v>149.01164413956062</v>
      </c>
      <c r="R9" s="27">
        <f>SUM(pStage3Death*L8*(1-'Life Table - Female'!B63),R8)</f>
        <v>45.683452635494838</v>
      </c>
      <c r="S9" s="19">
        <f t="shared" si="11"/>
        <v>0</v>
      </c>
      <c r="T9" s="23">
        <f t="shared" si="12"/>
        <v>0</v>
      </c>
      <c r="U9" s="199">
        <f>SUM(B8*'Life Table - Female'!B63,U8)</f>
        <v>37.002795457896866</v>
      </c>
      <c r="V9" s="49">
        <f t="shared" si="14"/>
        <v>0</v>
      </c>
      <c r="W9" s="54">
        <v>1.3333333333333333</v>
      </c>
      <c r="X9" s="13">
        <f t="shared" si="15"/>
        <v>2998419.8950661421</v>
      </c>
      <c r="Y9" s="25">
        <f t="shared" si="15"/>
        <v>962.48071351330304</v>
      </c>
    </row>
    <row r="10" spans="1:25" x14ac:dyDescent="0.2">
      <c r="A10" s="10">
        <v>7</v>
      </c>
      <c r="B10" s="15">
        <f t="shared" si="13"/>
        <v>896.83965341426779</v>
      </c>
      <c r="C10" s="27">
        <f>(1-SUM(pHealthyStage1,pHealthyStage2,pHealthyStage3))*C9*(1-'Life Table - Female'!B64)</f>
        <v>532.43512794930257</v>
      </c>
      <c r="D10" s="19">
        <f t="shared" si="2"/>
        <v>0</v>
      </c>
      <c r="E10" s="20">
        <f t="shared" si="1"/>
        <v>288.61232191772689</v>
      </c>
      <c r="F10" s="27">
        <f>SUM(pHealthyStage1*C9,(1-SUM(pStage1Remission,pStage1Stage2))*F9,pStage2Stage1*I9,pRemissionStage1_trtA*O9)*(1-'Life Table - Female'!B64)</f>
        <v>101.97190216644904</v>
      </c>
      <c r="G10" s="19">
        <f t="shared" si="3"/>
        <v>88439.987250212958</v>
      </c>
      <c r="H10" s="20">
        <f t="shared" si="4"/>
        <v>48.64199298761713</v>
      </c>
      <c r="I10" s="27">
        <f>SUM(pHealthyStage2*C9,pStage1Stage2*F9,(1-SUM(pStage2Remission, pStage2Stage1, pStage2Stage3))*I9,pStage3Stage2*L9,pRemissionStage2_trtA*O9)*(1-'Life Table - Female'!B64)</f>
        <v>60.534806433330857</v>
      </c>
      <c r="J10" s="19">
        <f t="shared" si="5"/>
        <v>236257.6188084209</v>
      </c>
      <c r="K10" s="20">
        <f t="shared" si="6"/>
        <v>23.297626299163728</v>
      </c>
      <c r="L10" s="27">
        <f>SUM(pHealthyStage3*C9,pStage2Stage3*I9,(1-SUM(pStage3Death, pStage3Stage2))*L9)*(1-'Life Table - Female'!B64)</f>
        <v>28.976885551866499</v>
      </c>
      <c r="M10" s="19">
        <f t="shared" si="7"/>
        <v>364407.9628556401</v>
      </c>
      <c r="N10" s="20">
        <f t="shared" si="8"/>
        <v>5.6546063201737251</v>
      </c>
      <c r="O10" s="27">
        <f>SUM(pStage1Remission*F9,pStage2Remission*I9,(1-SUM(pRemissionStage1_trtA, pRemissionStage2_trtA))*O9)*(1-'Life Table - Female'!B64)</f>
        <v>172.92093131331885</v>
      </c>
      <c r="P10" s="19">
        <f t="shared" si="9"/>
        <v>946710.31198860751</v>
      </c>
      <c r="Q10" s="20">
        <f t="shared" si="10"/>
        <v>89.047009543482886</v>
      </c>
      <c r="R10" s="27">
        <f>SUM(pStage3Death*L9*(1-'Life Table - Female'!B64),R9)</f>
        <v>58.500307507408984</v>
      </c>
      <c r="S10" s="19">
        <f t="shared" si="11"/>
        <v>0</v>
      </c>
      <c r="T10" s="23">
        <f t="shared" si="12"/>
        <v>0</v>
      </c>
      <c r="U10" s="199">
        <f>SUM(B9*'Life Table - Female'!B64,U9)</f>
        <v>44.660039078323386</v>
      </c>
      <c r="V10" s="49">
        <f t="shared" si="14"/>
        <v>0</v>
      </c>
      <c r="W10" s="54">
        <v>0.66666666666666663</v>
      </c>
      <c r="X10" s="13">
        <f t="shared" si="15"/>
        <v>1635815.8809028815</v>
      </c>
      <c r="Y10" s="25">
        <f t="shared" si="15"/>
        <v>455.25355706816435</v>
      </c>
    </row>
    <row r="11" spans="1:25" x14ac:dyDescent="0.2">
      <c r="A11" s="10">
        <v>8</v>
      </c>
      <c r="B11" s="15">
        <f t="shared" si="13"/>
        <v>875.87253085156647</v>
      </c>
      <c r="C11" s="27">
        <f>(1-SUM(pHealthyStage1,pHealthyStage2,pHealthyStage3))*C10*(1-'Life Table - Female'!B65)</f>
        <v>485.44654008824102</v>
      </c>
      <c r="D11" s="19">
        <f t="shared" si="2"/>
        <v>0</v>
      </c>
      <c r="E11" s="20">
        <f t="shared" si="1"/>
        <v>510.9546420152102</v>
      </c>
      <c r="F11" s="27">
        <f>SUM(pHealthyStage1*C10,(1-SUM(pStage1Remission,pStage1Stage2))*F10,pStage2Stage1*I10,pRemissionStage1_trtA*O10)*(1-'Life Table - Female'!B65)</f>
        <v>98.497153813395784</v>
      </c>
      <c r="G11" s="19">
        <f t="shared" si="3"/>
        <v>165876.40058439408</v>
      </c>
      <c r="H11" s="20">
        <f t="shared" si="4"/>
        <v>91.232020321416741</v>
      </c>
      <c r="I11" s="27">
        <f>SUM(pHealthyStage2*C10,pStage1Stage2*F10,(1-SUM(pStage2Remission, pStage2Stage1, pStage2Stage3))*I10,pStage3Stage2*L10,pRemissionStage2_trtA*O10)*(1-'Life Table - Female'!B65)</f>
        <v>59.803548189634732</v>
      </c>
      <c r="J11" s="19">
        <f t="shared" si="5"/>
        <v>453210.94258210663</v>
      </c>
      <c r="K11" s="20">
        <f t="shared" si="6"/>
        <v>44.691634615735516</v>
      </c>
      <c r="L11" s="27">
        <f>SUM(pHealthyStage3*C10,pStage2Stage3*I10,(1-SUM(pStage3Death, pStage3Stage2))*L10)*(1-'Life Table - Female'!B65)</f>
        <v>28.633849985764108</v>
      </c>
      <c r="M11" s="19">
        <f t="shared" si="7"/>
        <v>699211.67166820506</v>
      </c>
      <c r="N11" s="20">
        <f t="shared" si="8"/>
        <v>10.849836284506628</v>
      </c>
      <c r="O11" s="27">
        <f>SUM(pStage1Remission*F10,pStage2Remission*I10,(1-SUM(pRemissionStage1_trtA, pRemissionStage2_trtA))*O10)*(1-'Life Table - Female'!B65)</f>
        <v>203.49143877453082</v>
      </c>
      <c r="P11" s="19">
        <f t="shared" si="9"/>
        <v>2163258.6810822394</v>
      </c>
      <c r="Q11" s="20">
        <f t="shared" si="10"/>
        <v>203.47482643842841</v>
      </c>
      <c r="R11" s="27">
        <f>SUM(pStage3Death*L10*(1-'Life Table - Female'!B65),R10)</f>
        <v>71.422943203687268</v>
      </c>
      <c r="S11" s="19">
        <f t="shared" si="11"/>
        <v>0</v>
      </c>
      <c r="T11" s="23">
        <f t="shared" si="12"/>
        <v>0</v>
      </c>
      <c r="U11" s="199">
        <f>SUM(B10*'Life Table - Female'!B65,U10)</f>
        <v>52.70452594474645</v>
      </c>
      <c r="V11" s="49">
        <f t="shared" si="14"/>
        <v>0</v>
      </c>
      <c r="W11" s="54">
        <v>1.3333333333333333</v>
      </c>
      <c r="X11" s="13">
        <f t="shared" si="15"/>
        <v>3481557.6959169451</v>
      </c>
      <c r="Y11" s="25">
        <f t="shared" si="15"/>
        <v>861.20295967529751</v>
      </c>
    </row>
    <row r="12" spans="1:25" x14ac:dyDescent="0.2">
      <c r="A12" s="10">
        <v>9</v>
      </c>
      <c r="B12" s="15">
        <f t="shared" si="13"/>
        <v>854.72829656902184</v>
      </c>
      <c r="C12" s="27">
        <f>(1-SUM(pHealthyStage1,pHealthyStage2,pHealthyStage3))*C11*(1-'Life Table - Female'!B66)</f>
        <v>442.33664095460114</v>
      </c>
      <c r="D12" s="19">
        <f t="shared" si="2"/>
        <v>0</v>
      </c>
      <c r="E12" s="20">
        <f t="shared" si="1"/>
        <v>226.00946863752102</v>
      </c>
      <c r="F12" s="27">
        <f>SUM(pHealthyStage1*C11,(1-SUM(pStage1Remission,pStage1Stage2))*F11,pStage2Stage1*I11,pRemissionStage1_trtA*O11)*(1-'Life Table - Female'!B66)</f>
        <v>94.442907620838525</v>
      </c>
      <c r="G12" s="19">
        <f t="shared" si="3"/>
        <v>77208.132961913696</v>
      </c>
      <c r="H12" s="20">
        <f t="shared" si="4"/>
        <v>42.464473129052521</v>
      </c>
      <c r="I12" s="27">
        <f>SUM(pHealthyStage2*C11,pStage1Stage2*F11,(1-SUM(pStage2Remission, pStage2Stage1, pStage2Stage3))*I11,pStage3Stage2*L11,pRemissionStage2_trtA*O11)*(1-'Life Table - Female'!B66)</f>
        <v>58.343623775526467</v>
      </c>
      <c r="J12" s="19">
        <f t="shared" si="5"/>
        <v>214634.5415381997</v>
      </c>
      <c r="K12" s="20">
        <f t="shared" si="6"/>
        <v>21.165350623905798</v>
      </c>
      <c r="L12" s="27">
        <f>SUM(pHealthyStage3*C11,pStage2Stage3*I11,(1-SUM(pStage3Death, pStage3Stage2))*L11)*(1-'Life Table - Female'!B66)</f>
        <v>27.872597465601245</v>
      </c>
      <c r="M12" s="19">
        <f t="shared" si="7"/>
        <v>330399.3211061043</v>
      </c>
      <c r="N12" s="20">
        <f t="shared" si="8"/>
        <v>5.1268860171636872</v>
      </c>
      <c r="O12" s="27">
        <f>SUM(pStage1Remission*F11,pStage2Remission*I11,(1-SUM(pRemissionStage1_trtA, pRemissionStage2_trtA))*O11)*(1-'Life Table - Female'!B66)</f>
        <v>231.73252675245445</v>
      </c>
      <c r="P12" s="19">
        <f t="shared" si="9"/>
        <v>1195864.8186044116</v>
      </c>
      <c r="Q12" s="20">
        <f t="shared" si="10"/>
        <v>112.48233442318721</v>
      </c>
      <c r="R12" s="27">
        <f>SUM(pStage3Death*L11*(1-'Life Table - Female'!B66),R11)</f>
        <v>84.184860836890792</v>
      </c>
      <c r="S12" s="19">
        <f t="shared" si="11"/>
        <v>0</v>
      </c>
      <c r="T12" s="23">
        <f t="shared" si="12"/>
        <v>0</v>
      </c>
      <c r="U12" s="199">
        <f>SUM(B11*'Life Table - Female'!B66,U11)</f>
        <v>61.086842594087564</v>
      </c>
      <c r="V12" s="49">
        <f t="shared" si="14"/>
        <v>0</v>
      </c>
      <c r="W12" s="54">
        <v>0.66666666666666663</v>
      </c>
      <c r="X12" s="13">
        <f t="shared" si="15"/>
        <v>1818106.8142106293</v>
      </c>
      <c r="Y12" s="25">
        <f t="shared" si="15"/>
        <v>407.24851283083024</v>
      </c>
    </row>
    <row r="13" spans="1:25" x14ac:dyDescent="0.2">
      <c r="A13" s="10">
        <v>10</v>
      </c>
      <c r="B13" s="15">
        <f t="shared" si="13"/>
        <v>833.61107227400862</v>
      </c>
      <c r="C13" s="27">
        <f>(1-SUM(pHealthyStage1,pHealthyStage2,pHealthyStage3))*C12*(1-'Life Table - Female'!B67)</f>
        <v>402.8064273301552</v>
      </c>
      <c r="D13" s="19">
        <f t="shared" si="2"/>
        <v>0</v>
      </c>
      <c r="E13" s="20">
        <f t="shared" si="1"/>
        <v>399.63441527687792</v>
      </c>
      <c r="F13" s="27">
        <f>SUM(pHealthyStage1*C12,(1-SUM(pStage1Remission,pStage1Stage2))*F12,pStage2Stage1*I12,pRemissionStage1_trtA*O12)*(1-'Life Table - Female'!B67)</f>
        <v>90.129478455715713</v>
      </c>
      <c r="G13" s="19">
        <f t="shared" si="3"/>
        <v>143071.56580632224</v>
      </c>
      <c r="H13" s="20">
        <f t="shared" si="4"/>
        <v>78.689361193477225</v>
      </c>
      <c r="I13" s="27">
        <f>SUM(pHealthyStage2*C12,pStage1Stage2*F12,(1-SUM(pStage2Remission, pStage2Stage1, pStage2Stage3))*I12,pStage3Stage2*L12,pRemissionStage2_trtA*O12)*(1-'Life Table - Female'!B67)</f>
        <v>56.427735141180811</v>
      </c>
      <c r="J13" s="19">
        <f t="shared" si="5"/>
        <v>403080.32975958474</v>
      </c>
      <c r="K13" s="20">
        <f t="shared" si="6"/>
        <v>39.748199184625712</v>
      </c>
      <c r="L13" s="27">
        <f>SUM(pHealthyStage3*C12,pStage2Stage3*I12,(1-SUM(pStage3Death, pStage3Stage2))*L12)*(1-'Life Table - Female'!B67)</f>
        <v>26.835181008430954</v>
      </c>
      <c r="M13" s="19">
        <f t="shared" si="7"/>
        <v>617673.54870639311</v>
      </c>
      <c r="N13" s="20">
        <f t="shared" si="8"/>
        <v>9.5845895488923052</v>
      </c>
      <c r="O13" s="27">
        <f>SUM(pStage1Remission*F12,pStage2Remission*I12,(1-SUM(pRemissionStage1_trtA, pRemissionStage2_trtA))*O12)*(1-'Life Table - Female'!B67)</f>
        <v>257.41225033852589</v>
      </c>
      <c r="P13" s="19">
        <f t="shared" si="9"/>
        <v>2579390.3731698305</v>
      </c>
      <c r="Q13" s="20">
        <f t="shared" si="10"/>
        <v>242.61592618924146</v>
      </c>
      <c r="R13" s="27">
        <f>SUM(pStage3Death*L12*(1-'Life Table - Female'!B67),R12)</f>
        <v>96.599828859557263</v>
      </c>
      <c r="S13" s="19">
        <f t="shared" si="11"/>
        <v>0</v>
      </c>
      <c r="T13" s="23">
        <f t="shared" si="12"/>
        <v>0</v>
      </c>
      <c r="U13" s="199">
        <f>SUM(B12*'Life Table - Female'!B67,U12)</f>
        <v>69.789098866434387</v>
      </c>
      <c r="V13" s="49">
        <f t="shared" si="14"/>
        <v>0</v>
      </c>
      <c r="W13" s="54">
        <v>1.3333333333333333</v>
      </c>
      <c r="X13" s="13">
        <f t="shared" si="15"/>
        <v>3743215.8174421308</v>
      </c>
      <c r="Y13" s="25">
        <f t="shared" si="15"/>
        <v>770.27249139311459</v>
      </c>
    </row>
    <row r="14" spans="1:25" x14ac:dyDescent="0.2">
      <c r="A14" s="10">
        <v>11</v>
      </c>
      <c r="B14" s="15">
        <f t="shared" si="13"/>
        <v>812.62514538273854</v>
      </c>
      <c r="C14" s="27">
        <f>(1-SUM(pHealthyStage1,pHealthyStage2,pHealthyStage3))*C13*(1-'Life Table - Female'!B68)</f>
        <v>366.56270611591452</v>
      </c>
      <c r="D14" s="19">
        <f t="shared" si="2"/>
        <v>0</v>
      </c>
      <c r="E14" s="20">
        <f t="shared" si="1"/>
        <v>176.54179873717061</v>
      </c>
      <c r="F14" s="27">
        <f>SUM(pHealthyStage1*C13,(1-SUM(pStage1Remission,pStage1Stage2))*F13,pStage2Stage1*I13,pRemissionStage1_trtA*O13)*(1-'Life Table - Female'!B68)</f>
        <v>85.753858867430836</v>
      </c>
      <c r="G14" s="19">
        <f t="shared" si="3"/>
        <v>66080.439676031427</v>
      </c>
      <c r="H14" s="20">
        <f t="shared" si="4"/>
        <v>36.344241821817292</v>
      </c>
      <c r="I14" s="27">
        <f>SUM(pHealthyStage2*C13,pStage1Stage2*F13,(1-SUM(pStage2Remission, pStage2Stage1, pStage2Stage3))*I13,pStage3Stage2*L13,pRemissionStage2_trtA*O13)*(1-'Life Table - Female'!B68)</f>
        <v>54.24680545759945</v>
      </c>
      <c r="J14" s="19">
        <f t="shared" si="5"/>
        <v>188107.42296040177</v>
      </c>
      <c r="K14" s="20">
        <f t="shared" si="6"/>
        <v>18.54948198637295</v>
      </c>
      <c r="L14" s="27">
        <f>SUM(pHealthyStage3*C13,pStage2Stage3*I13,(1-SUM(pStage3Death, pStage3Stage2))*L13)*(1-'Life Table - Female'!B68)</f>
        <v>25.628805892445744</v>
      </c>
      <c r="M14" s="19">
        <f t="shared" si="7"/>
        <v>286362.15757074859</v>
      </c>
      <c r="N14" s="20">
        <f t="shared" si="8"/>
        <v>4.4435507209254084</v>
      </c>
      <c r="O14" s="27">
        <f>SUM(pStage1Remission*F13,pStage2Remission*I13,(1-SUM(pRemissionStage1_trtA, pRemissionStage2_trtA))*O13)*(1-'Life Table - Female'!B68)</f>
        <v>280.43296904934806</v>
      </c>
      <c r="P14" s="19">
        <f t="shared" si="9"/>
        <v>1364111.0062401423</v>
      </c>
      <c r="Q14" s="20">
        <f t="shared" si="10"/>
        <v>128.30747088397376</v>
      </c>
      <c r="R14" s="27">
        <f>SUM(pStage3Death*L13*(1-'Life Table - Female'!B68),R13)</f>
        <v>108.54468989918763</v>
      </c>
      <c r="S14" s="19">
        <f t="shared" si="11"/>
        <v>0</v>
      </c>
      <c r="T14" s="23">
        <f t="shared" si="12"/>
        <v>0</v>
      </c>
      <c r="U14" s="199">
        <f>SUM(B13*'Life Table - Female'!B68,U13)</f>
        <v>78.830164718074002</v>
      </c>
      <c r="V14" s="49">
        <f t="shared" si="14"/>
        <v>0</v>
      </c>
      <c r="W14" s="54">
        <v>0.66666666666666663</v>
      </c>
      <c r="X14" s="13">
        <f t="shared" si="15"/>
        <v>1904661.0264473241</v>
      </c>
      <c r="Y14" s="25">
        <f t="shared" si="15"/>
        <v>364.18654415026003</v>
      </c>
    </row>
    <row r="15" spans="1:25" x14ac:dyDescent="0.2">
      <c r="A15" s="10">
        <v>12</v>
      </c>
      <c r="B15" s="15">
        <f t="shared" si="13"/>
        <v>791.77645829726259</v>
      </c>
      <c r="C15" s="27">
        <f>(1-SUM(pHealthyStage1,pHealthyStage2,pHealthyStage3))*C14*(1-'Life Table - Female'!B69)</f>
        <v>333.31602686048132</v>
      </c>
      <c r="D15" s="19">
        <f t="shared" si="2"/>
        <v>0</v>
      </c>
      <c r="E15" s="20">
        <f t="shared" si="1"/>
        <v>311.70820664773629</v>
      </c>
      <c r="F15" s="27">
        <f>SUM(pHealthyStage1*C14,(1-SUM(pStage1Remission,pStage1Stage2))*F14,pStage2Stage1*I14,pRemissionStage1_trtA*O14)*(1-'Life Table - Female'!B69)</f>
        <v>81.431058035348073</v>
      </c>
      <c r="G15" s="19">
        <f t="shared" si="3"/>
        <v>121843.42555481488</v>
      </c>
      <c r="H15" s="20">
        <f t="shared" si="4"/>
        <v>67.013884055148196</v>
      </c>
      <c r="I15" s="27">
        <f>SUM(pHealthyStage2*C14,pStage1Stage2*F14,(1-SUM(pStage2Remission, pStage2Stage1, pStage2Stage3))*I14,pStage3Stage2*L14,pRemissionStage2_trtA*O14)*(1-'Life Table - Female'!B69)</f>
        <v>51.929511452333649</v>
      </c>
      <c r="J15" s="19">
        <f t="shared" si="5"/>
        <v>349654.21940080705</v>
      </c>
      <c r="K15" s="20">
        <f t="shared" si="6"/>
        <v>34.479791079801807</v>
      </c>
      <c r="L15" s="27">
        <f>SUM(pHealthyStage3*C14,pStage2Stage3*I14,(1-SUM(pStage3Death, pStage3Stage2))*L14)*(1-'Life Table - Female'!B69)</f>
        <v>24.330784567514588</v>
      </c>
      <c r="M15" s="19">
        <f t="shared" si="7"/>
        <v>527881.13086289947</v>
      </c>
      <c r="N15" s="20">
        <f t="shared" si="8"/>
        <v>8.1912589271829219</v>
      </c>
      <c r="O15" s="27">
        <f>SUM(pStage1Remission*F14,pStage2Remission*I14,(1-SUM(pRemissionStage1_trtA, pRemissionStage2_trtA))*O14)*(1-'Life Table - Female'!B69)</f>
        <v>300.76907738158496</v>
      </c>
      <c r="P15" s="19">
        <f t="shared" si="9"/>
        <v>2840838.8433899148</v>
      </c>
      <c r="Q15" s="20">
        <f t="shared" si="10"/>
        <v>267.2076139822197</v>
      </c>
      <c r="R15" s="27">
        <f>SUM(pStage3Death*L14*(1-'Life Table - Female'!B69),R14)</f>
        <v>119.94353826995452</v>
      </c>
      <c r="S15" s="19">
        <f t="shared" si="11"/>
        <v>0</v>
      </c>
      <c r="T15" s="23">
        <f t="shared" si="12"/>
        <v>0</v>
      </c>
      <c r="U15" s="199">
        <f>SUM(B14*'Life Table - Female'!B69,U14)</f>
        <v>88.280003432783133</v>
      </c>
      <c r="V15" s="49">
        <f t="shared" si="14"/>
        <v>0</v>
      </c>
      <c r="W15" s="54">
        <v>1.3333333333333333</v>
      </c>
      <c r="X15" s="13">
        <f t="shared" si="15"/>
        <v>3840217.6192084365</v>
      </c>
      <c r="Y15" s="25">
        <f t="shared" si="15"/>
        <v>688.60075469208891</v>
      </c>
    </row>
    <row r="16" spans="1:25" x14ac:dyDescent="0.2">
      <c r="A16" s="10">
        <v>13</v>
      </c>
      <c r="B16" s="15">
        <f t="shared" si="13"/>
        <v>771.03348828384389</v>
      </c>
      <c r="C16" s="27">
        <f>(1-SUM(pHealthyStage1,pHealthyStage2,pHealthyStage3))*C15*(1-'Life Table - Female'!B70)</f>
        <v>302.80434732659563</v>
      </c>
      <c r="D16" s="19">
        <f t="shared" si="2"/>
        <v>0</v>
      </c>
      <c r="E16" s="20">
        <f t="shared" si="1"/>
        <v>137.46335071186996</v>
      </c>
      <c r="F16" s="27">
        <f>SUM(pHealthyStage1*C15,(1-SUM(pStage1Remission,pStage1Stage2))*F15,pStage2Stage1*I15,pRemissionStage1_trtA*O15)*(1-'Life Table - Female'!B70)</f>
        <v>77.226865509538356</v>
      </c>
      <c r="G16" s="19">
        <f t="shared" si="3"/>
        <v>56093.586722339285</v>
      </c>
      <c r="H16" s="20">
        <f t="shared" si="4"/>
        <v>30.851472697286606</v>
      </c>
      <c r="I16" s="27">
        <f>SUM(pHealthyStage2*C15,pStage1Stage2*F15,(1-SUM(pStage2Remission, pStage2Stage1, pStage2Stage3))*I15,pStage3Stage2*L15,pRemissionStage2_trtA*O15)*(1-'Life Table - Female'!B70)</f>
        <v>49.561800327081137</v>
      </c>
      <c r="J16" s="19">
        <f t="shared" si="5"/>
        <v>161996.03685696106</v>
      </c>
      <c r="K16" s="20">
        <f t="shared" si="6"/>
        <v>15.97460919006144</v>
      </c>
      <c r="L16" s="27">
        <f>SUM(pHealthyStage3*C15,pStage2Stage3*I15,(1-SUM(pStage3Death, pStage3Stage2))*L15)*(1-'Life Table - Female'!B70)</f>
        <v>22.995872291465997</v>
      </c>
      <c r="M16" s="19">
        <f t="shared" si="7"/>
        <v>242193.61679167306</v>
      </c>
      <c r="N16" s="20">
        <f t="shared" si="8"/>
        <v>3.7581768122845824</v>
      </c>
      <c r="O16" s="27">
        <f>SUM(pStage1Remission*F15,pStage2Remission*I15,(1-SUM(pRemissionStage1_trtA, pRemissionStage2_trtA))*O15)*(1-'Life Table - Female'!B70)</f>
        <v>318.44460282916276</v>
      </c>
      <c r="P16" s="19">
        <f t="shared" si="9"/>
        <v>1460091.5453347657</v>
      </c>
      <c r="Q16" s="20">
        <f t="shared" si="10"/>
        <v>137.33534337307202</v>
      </c>
      <c r="R16" s="27">
        <f>SUM(pStage3Death*L15*(1-'Life Table - Female'!B70),R15)</f>
        <v>130.75505710884465</v>
      </c>
      <c r="S16" s="19">
        <f t="shared" si="11"/>
        <v>0</v>
      </c>
      <c r="T16" s="23">
        <f t="shared" si="12"/>
        <v>0</v>
      </c>
      <c r="U16" s="199">
        <f>SUM(B15*'Life Table - Female'!B70,U15)</f>
        <v>98.211454607311708</v>
      </c>
      <c r="V16" s="49">
        <f t="shared" si="14"/>
        <v>0</v>
      </c>
      <c r="W16" s="54">
        <v>0.66666666666666663</v>
      </c>
      <c r="X16" s="13">
        <f t="shared" si="15"/>
        <v>1920374.7857057392</v>
      </c>
      <c r="Y16" s="25">
        <f t="shared" si="15"/>
        <v>325.38295278457463</v>
      </c>
    </row>
    <row r="17" spans="1:25" x14ac:dyDescent="0.2">
      <c r="A17" s="10">
        <v>14</v>
      </c>
      <c r="B17" s="15">
        <f t="shared" si="13"/>
        <v>750.30698726637115</v>
      </c>
      <c r="C17" s="27">
        <f>(1-SUM(pHealthyStage1,pHealthyStage2,pHealthyStage3))*C16*(1-'Life Table - Female'!B71)</f>
        <v>274.77921237072559</v>
      </c>
      <c r="D17" s="19">
        <f t="shared" si="2"/>
        <v>0</v>
      </c>
      <c r="E17" s="20">
        <f t="shared" si="1"/>
        <v>242.21523995613663</v>
      </c>
      <c r="F17" s="27">
        <f>SUM(pHealthyStage1*C16,(1-SUM(pStage1Remission,pStage1Stage2))*F16,pStage2Stage1*I16,pRemissionStage1_trtA*O16)*(1-'Life Table - Female'!B71)</f>
        <v>73.172528658186266</v>
      </c>
      <c r="G17" s="19">
        <f t="shared" si="3"/>
        <v>103201.4113977603</v>
      </c>
      <c r="H17" s="20">
        <f t="shared" si="4"/>
        <v>56.760776268768161</v>
      </c>
      <c r="I17" s="27">
        <f>SUM(pHealthyStage2*C16,pStage1Stage2*F16,(1-SUM(pStage2Remission, pStage2Stage1, pStage2Stage3))*I16,pStage3Stage2*L16,pRemissionStage2_trtA*O16)*(1-'Life Table - Female'!B71)</f>
        <v>47.197253860956003</v>
      </c>
      <c r="J17" s="19">
        <f t="shared" si="5"/>
        <v>299548.27116690803</v>
      </c>
      <c r="K17" s="20">
        <f t="shared" si="6"/>
        <v>29.538787851181208</v>
      </c>
      <c r="L17" s="27">
        <f>SUM(pHealthyStage3*C16,pStage2Stage3*I16,(1-SUM(pStage3Death, pStage3Stage2))*L16)*(1-'Life Table - Female'!B71)</f>
        <v>21.660636503726323</v>
      </c>
      <c r="M17" s="19">
        <f t="shared" si="7"/>
        <v>442972.52465212671</v>
      </c>
      <c r="N17" s="20">
        <f t="shared" si="8"/>
        <v>6.8737115894295533</v>
      </c>
      <c r="O17" s="27">
        <f>SUM(pStage1Remission*F16,pStage2Remission*I16,(1-SUM(pRemissionStage1_trtA, pRemissionStage2_trtA))*O16)*(1-'Life Table - Female'!B71)</f>
        <v>333.49735587277706</v>
      </c>
      <c r="P17" s="19">
        <f t="shared" si="9"/>
        <v>2969144.6741670775</v>
      </c>
      <c r="Q17" s="20">
        <f t="shared" si="10"/>
        <v>279.27598420383396</v>
      </c>
      <c r="R17" s="27">
        <f>SUM(pStage3Death*L16*(1-'Life Table - Female'!B71),R16)</f>
        <v>140.96201546516059</v>
      </c>
      <c r="S17" s="19">
        <f t="shared" si="11"/>
        <v>0</v>
      </c>
      <c r="T17" s="23">
        <f t="shared" si="12"/>
        <v>0</v>
      </c>
      <c r="U17" s="199">
        <f>SUM(B16*'Life Table - Female'!B71,U16)</f>
        <v>108.73099726846844</v>
      </c>
      <c r="V17" s="49">
        <f t="shared" si="14"/>
        <v>0</v>
      </c>
      <c r="W17" s="54">
        <v>1.3333333333333333</v>
      </c>
      <c r="X17" s="13">
        <f t="shared" si="15"/>
        <v>3814866.8813838726</v>
      </c>
      <c r="Y17" s="25">
        <f t="shared" si="15"/>
        <v>614.66449986934958</v>
      </c>
    </row>
    <row r="18" spans="1:25" x14ac:dyDescent="0.2">
      <c r="A18" s="10">
        <v>15</v>
      </c>
      <c r="B18" s="15">
        <f t="shared" si="13"/>
        <v>729.54276079646968</v>
      </c>
      <c r="C18" s="27">
        <f>(1-SUM(pHealthyStage1,pHealthyStage2,pHealthyStage3))*C17*(1-'Life Table - Female'!B72)</f>
        <v>249.03614141724276</v>
      </c>
      <c r="D18" s="19">
        <f t="shared" si="2"/>
        <v>0</v>
      </c>
      <c r="E18" s="20">
        <f t="shared" si="1"/>
        <v>106.56454846815721</v>
      </c>
      <c r="F18" s="27">
        <f>SUM(pHealthyStage1*C17,(1-SUM(pStage1Remission,pStage1Stage2))*F17,pStage2Stage1*I17,pRemissionStage1_trtA*O17)*(1-'Life Table - Female'!B72)</f>
        <v>69.284635866903727</v>
      </c>
      <c r="G18" s="19">
        <f t="shared" si="3"/>
        <v>47435.916055683512</v>
      </c>
      <c r="H18" s="20">
        <f t="shared" si="4"/>
        <v>26.089753830625934</v>
      </c>
      <c r="I18" s="27">
        <f>SUM(pHealthyStage2*C17,pStage1Stage2*F17,(1-SUM(pStage2Remission, pStage2Stage1, pStage2Stage3))*I17,pStage3Stage2*L17,pRemissionStage2_trtA*O17)*(1-'Life Table - Female'!B72)</f>
        <v>44.871581992349455</v>
      </c>
      <c r="J18" s="19">
        <f t="shared" si="5"/>
        <v>138246.53280182838</v>
      </c>
      <c r="K18" s="20">
        <f t="shared" si="6"/>
        <v>13.632644206846962</v>
      </c>
      <c r="L18" s="27">
        <f>SUM(pHealthyStage3*C17,pStage2Stage3*I17,(1-SUM(pStage3Death, pStage3Stage2))*L17)*(1-'Life Table - Female'!B72)</f>
        <v>20.350384101733837</v>
      </c>
      <c r="M18" s="19">
        <f t="shared" si="7"/>
        <v>202027.72155972928</v>
      </c>
      <c r="N18" s="20">
        <f t="shared" si="8"/>
        <v>3.1349129207544197</v>
      </c>
      <c r="O18" s="27">
        <f>SUM(pStage1Remission*F17,pStage2Remission*I17,(1-SUM(pRemissionStage1_trtA, pRemissionStage2_trtA))*O17)*(1-'Life Table - Female'!B72)</f>
        <v>346.00001741823991</v>
      </c>
      <c r="P18" s="19">
        <f t="shared" si="9"/>
        <v>1495367.2495277557</v>
      </c>
      <c r="Q18" s="20">
        <f t="shared" si="10"/>
        <v>140.65335515360081</v>
      </c>
      <c r="R18" s="27">
        <f>SUM(pStage3Death*L17*(1-'Life Table - Female'!B72),R17)</f>
        <v>150.56429633722101</v>
      </c>
      <c r="S18" s="19">
        <f t="shared" si="11"/>
        <v>0</v>
      </c>
      <c r="T18" s="23">
        <f t="shared" si="12"/>
        <v>0</v>
      </c>
      <c r="U18" s="199">
        <f>SUM(B17*'Life Table - Female'!B72,U17)</f>
        <v>119.8929428663096</v>
      </c>
      <c r="V18" s="49">
        <f t="shared" si="14"/>
        <v>0</v>
      </c>
      <c r="W18" s="54">
        <v>0.66666666666666663</v>
      </c>
      <c r="X18" s="13">
        <f t="shared" si="15"/>
        <v>1883077.4199449969</v>
      </c>
      <c r="Y18" s="25">
        <f t="shared" si="15"/>
        <v>290.07521457998536</v>
      </c>
    </row>
    <row r="19" spans="1:25" x14ac:dyDescent="0.2">
      <c r="A19" s="10">
        <v>16</v>
      </c>
      <c r="B19" s="15">
        <f t="shared" si="13"/>
        <v>708.61760372769197</v>
      </c>
      <c r="C19" s="27">
        <f>(1-SUM(pHealthyStage1,pHealthyStage2,pHealthyStage3))*C18*(1-'Life Table - Female'!B73)</f>
        <v>225.37068713168057</v>
      </c>
      <c r="D19" s="19">
        <f t="shared" si="2"/>
        <v>0</v>
      </c>
      <c r="E19" s="20">
        <f t="shared" si="1"/>
        <v>187.25808171971116</v>
      </c>
      <c r="F19" s="27">
        <f>SUM(pHealthyStage1*C18,(1-SUM(pStage1Remission,pStage1Stage2))*F18,pStage2Stage1*I18,pRemissionStage1_trtA*O18)*(1-'Life Table - Female'!B73)</f>
        <v>65.561666123650284</v>
      </c>
      <c r="G19" s="19">
        <f t="shared" si="3"/>
        <v>87159.173991351898</v>
      </c>
      <c r="H19" s="20">
        <f t="shared" si="4"/>
        <v>47.93754569524355</v>
      </c>
      <c r="I19" s="27">
        <f>SUM(pHealthyStage2*C18,pStage1Stage2*F18,(1-SUM(pStage2Remission, pStage2Stage1, pStage2Stage3))*I18,pStage3Stage2*L18,pRemissionStage2_trtA*O18)*(1-'Life Table - Female'!B73)</f>
        <v>42.602192147521166</v>
      </c>
      <c r="J19" s="19">
        <f t="shared" si="5"/>
        <v>254863.46577252436</v>
      </c>
      <c r="K19" s="20">
        <f t="shared" si="6"/>
        <v>25.132369541457262</v>
      </c>
      <c r="L19" s="27">
        <f>SUM(pHealthyStage3*C18,pStage2Stage3*I18,(1-SUM(pStage3Death, pStage3Stage2))*L18)*(1-'Life Table - Female'!B73)</f>
        <v>19.079452520893053</v>
      </c>
      <c r="M19" s="19">
        <f t="shared" si="7"/>
        <v>367787.55931069033</v>
      </c>
      <c r="N19" s="20">
        <f t="shared" si="8"/>
        <v>5.7070483341314002</v>
      </c>
      <c r="O19" s="27">
        <f>SUM(pStage1Remission*F18,pStage2Remission*I18,(1-SUM(pRemissionStage1_trtA, pRemissionStage2_trtA))*O18)*(1-'Life Table - Female'!B73)</f>
        <v>356.00360580394693</v>
      </c>
      <c r="P19" s="19">
        <f t="shared" si="9"/>
        <v>2987575.6553862859</v>
      </c>
      <c r="Q19" s="20">
        <f t="shared" si="10"/>
        <v>281.00959134821494</v>
      </c>
      <c r="R19" s="27">
        <f>SUM(pStage3Death*L18*(1-'Life Table - Female'!B73),R18)</f>
        <v>159.57237867573707</v>
      </c>
      <c r="S19" s="19">
        <f t="shared" si="11"/>
        <v>0</v>
      </c>
      <c r="T19" s="23">
        <f t="shared" si="12"/>
        <v>0</v>
      </c>
      <c r="U19" s="199">
        <f>SUM(B18*'Life Table - Female'!B73,U18)</f>
        <v>131.81001759657124</v>
      </c>
      <c r="V19" s="49">
        <f t="shared" si="14"/>
        <v>0</v>
      </c>
      <c r="W19" s="54">
        <v>1.3333333333333333</v>
      </c>
      <c r="X19" s="13">
        <f t="shared" si="15"/>
        <v>3697385.8544608522</v>
      </c>
      <c r="Y19" s="25">
        <f t="shared" si="15"/>
        <v>547.04463663875833</v>
      </c>
    </row>
    <row r="20" spans="1:25" x14ac:dyDescent="0.2">
      <c r="A20" s="10">
        <v>17</v>
      </c>
      <c r="B20" s="15">
        <f t="shared" si="13"/>
        <v>687.51500647710293</v>
      </c>
      <c r="C20" s="27">
        <f>(1-SUM(pHealthyStage1,pHealthyStage2,pHealthyStage3))*C19*(1-'Life Table - Female'!B74)</f>
        <v>203.63369331015807</v>
      </c>
      <c r="D20" s="19">
        <f t="shared" si="2"/>
        <v>0</v>
      </c>
      <c r="E20" s="20">
        <f t="shared" si="1"/>
        <v>82.134488920503998</v>
      </c>
      <c r="F20" s="27">
        <f>SUM(pHealthyStage1*C19,(1-SUM(pStage1Remission,pStage1Stage2))*F19,pStage2Stage1*I19,pRemissionStage1_trtA*O19)*(1-'Life Table - Female'!B74)</f>
        <v>62.004942009650875</v>
      </c>
      <c r="G20" s="19">
        <f t="shared" si="3"/>
        <v>40014.943615456119</v>
      </c>
      <c r="H20" s="20">
        <f t="shared" si="4"/>
        <v>22.008218988500868</v>
      </c>
      <c r="I20" s="27">
        <f>SUM(pHealthyStage2*C19,pStage1Stage2*F19,(1-SUM(pStage2Remission, pStage2Stage1, pStage2Stage3))*I19,pStage3Stage2*L19,pRemissionStage2_trtA*O19)*(1-'Life Table - Female'!B74)</f>
        <v>40.403324607985311</v>
      </c>
      <c r="J20" s="19">
        <f t="shared" si="5"/>
        <v>117334.44410225211</v>
      </c>
      <c r="K20" s="20">
        <f t="shared" si="6"/>
        <v>11.570479904527637</v>
      </c>
      <c r="L20" s="27">
        <f>SUM(pHealthyStage3*C19,pStage2Stage3*I19,(1-SUM(pStage3Death, pStage3Stage2))*L19)*(1-'Life Table - Female'!B74)</f>
        <v>17.858629169289628</v>
      </c>
      <c r="M20" s="19">
        <f t="shared" si="7"/>
        <v>167113.68857719348</v>
      </c>
      <c r="N20" s="20">
        <f t="shared" si="8"/>
        <v>2.5931434434392084</v>
      </c>
      <c r="O20" s="27">
        <f>SUM(pStage1Remission*F19,pStage2Remission*I19,(1-SUM(pRemissionStage1_trtA, pRemissionStage2_trtA))*O19)*(1-'Life Table - Female'!B74)</f>
        <v>363.61441738001906</v>
      </c>
      <c r="P20" s="19">
        <f t="shared" si="9"/>
        <v>1481284.1965719205</v>
      </c>
      <c r="Q20" s="20">
        <f t="shared" si="10"/>
        <v>139.328711558745</v>
      </c>
      <c r="R20" s="27">
        <f>SUM(pStage3Death*L19*(1-'Life Table - Female'!B74),R19)</f>
        <v>168.00461567292507</v>
      </c>
      <c r="S20" s="19">
        <f t="shared" si="11"/>
        <v>0</v>
      </c>
      <c r="T20" s="23">
        <f t="shared" si="12"/>
        <v>0</v>
      </c>
      <c r="U20" s="199">
        <f>SUM(B19*'Life Table - Female'!B74,U19)</f>
        <v>144.48037784997229</v>
      </c>
      <c r="V20" s="49">
        <f t="shared" si="14"/>
        <v>0</v>
      </c>
      <c r="W20" s="54">
        <v>0.66666666666666663</v>
      </c>
      <c r="X20" s="13">
        <f t="shared" si="15"/>
        <v>1805747.2728668223</v>
      </c>
      <c r="Y20" s="25">
        <f t="shared" si="15"/>
        <v>257.6350428157167</v>
      </c>
    </row>
    <row r="21" spans="1:25" x14ac:dyDescent="0.2">
      <c r="A21" s="10">
        <v>18</v>
      </c>
      <c r="B21" s="15">
        <f t="shared" si="13"/>
        <v>666.15007880070777</v>
      </c>
      <c r="C21" s="27">
        <f>(1-SUM(pHealthyStage1,pHealthyStage2,pHealthyStage3))*C20*(1-'Life Table - Female'!B75)</f>
        <v>183.66810741150334</v>
      </c>
      <c r="D21" s="19">
        <f t="shared" si="2"/>
        <v>0</v>
      </c>
      <c r="E21" s="20">
        <f t="shared" si="1"/>
        <v>143.84754117947369</v>
      </c>
      <c r="F21" s="27">
        <f>SUM(pHealthyStage1*C20,(1-SUM(pStage1Remission,pStage1Stage2))*F20,pStage2Stage1*I20,pRemissionStage1_trtA*O20)*(1-'Life Table - Female'!B75)</f>
        <v>58.604768534150388</v>
      </c>
      <c r="G21" s="19">
        <f t="shared" si="3"/>
        <v>73438.133370795389</v>
      </c>
      <c r="H21" s="20">
        <f t="shared" si="4"/>
        <v>40.390973353937461</v>
      </c>
      <c r="I21" s="27">
        <f>SUM(pHealthyStage2*C20,pStage1Stage2*F20,(1-SUM(pStage2Remission, pStage2Stage1, pStage2Stage3))*I20,pStage3Stage2*L20,pRemissionStage2_trtA*O20)*(1-'Life Table - Female'!B75)</f>
        <v>38.278352895619761</v>
      </c>
      <c r="J21" s="19">
        <f t="shared" si="5"/>
        <v>215851.18156147364</v>
      </c>
      <c r="K21" s="20">
        <f t="shared" si="6"/>
        <v>21.285324848423091</v>
      </c>
      <c r="L21" s="27">
        <f>SUM(pHealthyStage3*C20,pStage2Stage3*I20,(1-SUM(pStage3Death, pStage3Stage2))*L20)*(1-'Life Table - Female'!B75)</f>
        <v>16.692167955816913</v>
      </c>
      <c r="M21" s="19">
        <f t="shared" si="7"/>
        <v>303297.91355039226</v>
      </c>
      <c r="N21" s="20">
        <f t="shared" si="8"/>
        <v>4.7063469344026378</v>
      </c>
      <c r="O21" s="27">
        <f>SUM(pStage1Remission*F20,pStage2Remission*I20,(1-SUM(pRemissionStage1_trtA, pRemissionStage2_trtA))*O20)*(1-'Life Table - Female'!B75)</f>
        <v>368.90668200361739</v>
      </c>
      <c r="P21" s="19">
        <f t="shared" si="9"/>
        <v>2918143.1157302004</v>
      </c>
      <c r="Q21" s="20">
        <f t="shared" si="10"/>
        <v>274.47880791521681</v>
      </c>
      <c r="R21" s="27">
        <f>SUM(pStage3Death*L20*(1-'Life Table - Female'!B75),R20)</f>
        <v>175.88335838653194</v>
      </c>
      <c r="S21" s="19">
        <f t="shared" si="11"/>
        <v>0</v>
      </c>
      <c r="T21" s="23">
        <f t="shared" si="12"/>
        <v>0</v>
      </c>
      <c r="U21" s="199">
        <f>SUM(B20*'Life Table - Female'!B75,U20)</f>
        <v>157.96656281276057</v>
      </c>
      <c r="V21" s="49">
        <f t="shared" si="14"/>
        <v>0</v>
      </c>
      <c r="W21" s="54">
        <v>1.3333333333333333</v>
      </c>
      <c r="X21" s="13">
        <f t="shared" si="15"/>
        <v>3510730.3442128617</v>
      </c>
      <c r="Y21" s="25">
        <f t="shared" si="15"/>
        <v>484.70899423145369</v>
      </c>
    </row>
    <row r="22" spans="1:25" x14ac:dyDescent="0.2">
      <c r="A22" s="10">
        <v>19</v>
      </c>
      <c r="B22" s="15">
        <f t="shared" si="13"/>
        <v>644.63348104058866</v>
      </c>
      <c r="C22" s="27">
        <f>(1-SUM(pHealthyStage1,pHealthyStage2,pHealthyStage3))*C21*(1-'Life Table - Female'!B76)</f>
        <v>165.3816250508892</v>
      </c>
      <c r="D22" s="19">
        <f t="shared" si="2"/>
        <v>0</v>
      </c>
      <c r="E22" s="20">
        <f t="shared" si="1"/>
        <v>62.876553238647418</v>
      </c>
      <c r="F22" s="27">
        <f>SUM(pHealthyStage1*C21,(1-SUM(pStage1Remission,pStage1Stage2))*F21,pStage2Stage1*I21,pRemissionStage1_trtA*O21)*(1-'Life Table - Female'!B76)</f>
        <v>55.365696945227519</v>
      </c>
      <c r="G22" s="19">
        <f t="shared" si="3"/>
        <v>33679.235554738065</v>
      </c>
      <c r="H22" s="20">
        <f t="shared" si="4"/>
        <v>18.523579555105936</v>
      </c>
      <c r="I22" s="27">
        <f>SUM(pHealthyStage2*C21,pStage1Stage2*F21,(1-SUM(pStage2Remission, pStage2Stage1, pStage2Stage3))*I21,pStage3Stage2*L21,pRemissionStage2_trtA*O21)*(1-'Life Table - Female'!B76)</f>
        <v>36.237245941450517</v>
      </c>
      <c r="J22" s="19">
        <f t="shared" si="5"/>
        <v>99194.856050670569</v>
      </c>
      <c r="K22" s="20">
        <f t="shared" si="6"/>
        <v>9.7817149716633462</v>
      </c>
      <c r="L22" s="27">
        <f>SUM(pHealthyStage3*C21,pStage2Stage3*I21,(1-SUM(pStage3Death, pStage3Stage2))*L21)*(1-'Life Table - Female'!B76)</f>
        <v>15.585903123881696</v>
      </c>
      <c r="M22" s="19">
        <f t="shared" si="7"/>
        <v>137474.27212641484</v>
      </c>
      <c r="N22" s="20">
        <f t="shared" si="8"/>
        <v>2.1332214640305747</v>
      </c>
      <c r="O22" s="27">
        <f>SUM(pStage1Remission*F21,pStage2Remission*I21,(1-SUM(pRemissionStage1_trtA, pRemissionStage2_trtA))*O21)*(1-'Life Table - Female'!B76)</f>
        <v>372.06300997913974</v>
      </c>
      <c r="P22" s="19">
        <f t="shared" si="9"/>
        <v>1428694.3936102407</v>
      </c>
      <c r="Q22" s="20">
        <f t="shared" si="10"/>
        <v>134.38214593363648</v>
      </c>
      <c r="R22" s="27">
        <f>SUM(pStage3Death*L21*(1-'Life Table - Female'!B76),R21)</f>
        <v>183.23511187818215</v>
      </c>
      <c r="S22" s="19">
        <f t="shared" si="11"/>
        <v>0</v>
      </c>
      <c r="T22" s="23">
        <f t="shared" si="12"/>
        <v>0</v>
      </c>
      <c r="U22" s="199">
        <f>SUM(B21*'Life Table - Female'!B76,U21)</f>
        <v>172.13140708122944</v>
      </c>
      <c r="V22" s="49">
        <f t="shared" si="14"/>
        <v>0</v>
      </c>
      <c r="W22" s="54">
        <v>0.66666666666666663</v>
      </c>
      <c r="X22" s="13">
        <f t="shared" si="15"/>
        <v>1699042.7573420643</v>
      </c>
      <c r="Y22" s="25">
        <f t="shared" si="15"/>
        <v>227.69721516308374</v>
      </c>
    </row>
    <row r="23" spans="1:25" x14ac:dyDescent="0.2">
      <c r="A23" s="10">
        <v>20</v>
      </c>
      <c r="B23" s="15">
        <f t="shared" si="13"/>
        <v>622.3208677686107</v>
      </c>
      <c r="C23" s="27">
        <f>(1-SUM(pHealthyStage1,pHealthyStage2,pHealthyStage3))*C22*(1-'Life Table - Female'!B77)</f>
        <v>148.50040391342336</v>
      </c>
      <c r="D23" s="19">
        <f t="shared" si="2"/>
        <v>0</v>
      </c>
      <c r="E23" s="20">
        <f t="shared" si="1"/>
        <v>109.62809751165339</v>
      </c>
      <c r="F23" s="27">
        <f>SUM(pHealthyStage1*C22,(1-SUM(pStage1Remission,pStage1Stage2))*F22,pStage2Stage1*I22,pRemissionStage1_trtA*O22)*(1-'Life Table - Female'!B77)</f>
        <v>52.225997882688638</v>
      </c>
      <c r="G23" s="19">
        <f t="shared" si="3"/>
        <v>61688.040033773992</v>
      </c>
      <c r="H23" s="20">
        <f t="shared" si="4"/>
        <v>33.928422018575702</v>
      </c>
      <c r="I23" s="27">
        <f>SUM(pHealthyStage2*C22,pStage1Stage2*F22,(1-SUM(pStage2Remission, pStage2Stage1, pStage2Stage3))*I22,pStage3Stage2*L22,pRemissionStage2_trtA*O22)*(1-'Life Table - Female'!B77)</f>
        <v>34.244615263727326</v>
      </c>
      <c r="J23" s="19">
        <f t="shared" si="5"/>
        <v>182019.96655646499</v>
      </c>
      <c r="K23" s="20">
        <f t="shared" si="6"/>
        <v>17.949191146540297</v>
      </c>
      <c r="L23" s="27">
        <f>SUM(pHealthyStage3*C22,pStage2Stage3*I22,(1-SUM(pStage3Death, pStage3Stage2))*L22)*(1-'Life Table - Female'!B77)</f>
        <v>14.525269660381925</v>
      </c>
      <c r="M23" s="19">
        <f t="shared" si="7"/>
        <v>248774.82601086257</v>
      </c>
      <c r="N23" s="20">
        <f t="shared" si="8"/>
        <v>3.8602990243064887</v>
      </c>
      <c r="O23" s="27">
        <f>SUM(pStage1Remission*F22,pStage2Remission*I22,(1-SUM(pRemissionStage1_trtA, pRemissionStage2_trtA))*O22)*(1-'Life Table - Female'!B77)</f>
        <v>372.82458104838952</v>
      </c>
      <c r="P23" s="19">
        <f t="shared" si="9"/>
        <v>2779842.2720277756</v>
      </c>
      <c r="Q23" s="20">
        <f t="shared" si="10"/>
        <v>261.47031271548377</v>
      </c>
      <c r="R23" s="27">
        <f>SUM(pStage3Death*L22*(1-'Life Table - Female'!B77),R22)</f>
        <v>190.08048363737242</v>
      </c>
      <c r="S23" s="19">
        <f t="shared" si="11"/>
        <v>0</v>
      </c>
      <c r="T23" s="23">
        <f t="shared" si="12"/>
        <v>0</v>
      </c>
      <c r="U23" s="199">
        <f>SUM(B22*'Life Table - Female'!B77,U22)</f>
        <v>187.59864859401702</v>
      </c>
      <c r="V23" s="49">
        <f t="shared" si="14"/>
        <v>0</v>
      </c>
      <c r="W23" s="54">
        <v>1.3333333333333333</v>
      </c>
      <c r="X23" s="13">
        <f t="shared" si="15"/>
        <v>3272325.1046288772</v>
      </c>
      <c r="Y23" s="25">
        <f t="shared" si="15"/>
        <v>426.83632241655965</v>
      </c>
    </row>
    <row r="24" spans="1:25" x14ac:dyDescent="0.2">
      <c r="A24" s="10">
        <v>21</v>
      </c>
      <c r="B24" s="15">
        <f t="shared" si="13"/>
        <v>599.52166520763262</v>
      </c>
      <c r="C24" s="27">
        <f>(1-SUM(pHealthyStage1,pHealthyStage2,pHealthyStage3))*C23*(1-'Life Table - Female'!B78)</f>
        <v>133.01223587004787</v>
      </c>
      <c r="D24" s="19">
        <f t="shared" si="2"/>
        <v>0</v>
      </c>
      <c r="E24" s="20">
        <f t="shared" si="1"/>
        <v>47.667087385993163</v>
      </c>
      <c r="F24" s="27">
        <f>SUM(pHealthyStage1*C23,(1-SUM(pStage1Remission,pStage1Stage2))*F23,pStage2Stage1*I23,pRemissionStage1_trtA*O23)*(1-'Life Table - Female'!B78)</f>
        <v>49.205865933802713</v>
      </c>
      <c r="G24" s="19">
        <f t="shared" si="3"/>
        <v>28213.949443407022</v>
      </c>
      <c r="H24" s="20">
        <f t="shared" si="4"/>
        <v>15.517672193873862</v>
      </c>
      <c r="I24" s="27">
        <f>SUM(pHealthyStage2*C23,pStage1Stage2*F23,(1-SUM(pStage2Remission, pStage2Stage1, pStage2Stage3))*I23,pStage3Stage2*L23,pRemissionStage2_trtA*O23)*(1-'Life Table - Female'!B78)</f>
        <v>32.31723779324637</v>
      </c>
      <c r="J24" s="19">
        <f t="shared" si="5"/>
        <v>83386.11732067485</v>
      </c>
      <c r="K24" s="20">
        <f t="shared" si="6"/>
        <v>8.2227976802332137</v>
      </c>
      <c r="L24" s="27">
        <f>SUM(pHealthyStage3*C23,pStage2Stage3*I23,(1-SUM(pStage3Death, pStage3Stage2))*L23)*(1-'Life Table - Female'!B78)</f>
        <v>13.517646814822809</v>
      </c>
      <c r="M24" s="19">
        <f t="shared" si="7"/>
        <v>112387.00611294463</v>
      </c>
      <c r="N24" s="20">
        <f t="shared" si="8"/>
        <v>1.7439363017525891</v>
      </c>
      <c r="O24" s="27">
        <f>SUM(pStage1Remission*F23,pStage2Remission*I23,(1-SUM(pRemissionStage1_trtA, pRemissionStage2_trtA))*O23)*(1-'Life Table - Female'!B78)</f>
        <v>371.46867879571283</v>
      </c>
      <c r="P24" s="19">
        <f t="shared" si="9"/>
        <v>1344530.310017514</v>
      </c>
      <c r="Q24" s="20">
        <f t="shared" si="10"/>
        <v>126.46572222937012</v>
      </c>
      <c r="R24" s="27">
        <f>SUM(pStage3Death*L23*(1-'Life Table - Female'!B78),R23)</f>
        <v>196.44422981358341</v>
      </c>
      <c r="S24" s="19">
        <f t="shared" si="11"/>
        <v>0</v>
      </c>
      <c r="T24" s="23">
        <f t="shared" si="12"/>
        <v>0</v>
      </c>
      <c r="U24" s="199">
        <f>SUM(B23*'Life Table - Female'!B78,U23)</f>
        <v>204.03410497878423</v>
      </c>
      <c r="V24" s="49">
        <f t="shared" si="14"/>
        <v>0</v>
      </c>
      <c r="W24" s="54">
        <v>0.66666666666666663</v>
      </c>
      <c r="X24" s="13">
        <f t="shared" si="15"/>
        <v>1568517.3828945407</v>
      </c>
      <c r="Y24" s="25">
        <f t="shared" si="15"/>
        <v>199.61721579122295</v>
      </c>
    </row>
    <row r="25" spans="1:25" x14ac:dyDescent="0.2">
      <c r="A25" s="10">
        <v>22</v>
      </c>
      <c r="B25" s="15">
        <f t="shared" si="13"/>
        <v>575.96925427474605</v>
      </c>
      <c r="C25" s="27">
        <f>(1-SUM(pHealthyStage1,pHealthyStage2,pHealthyStage3))*C24*(1-'Life Table - Female'!B79)</f>
        <v>118.76892890876988</v>
      </c>
      <c r="D25" s="19">
        <f t="shared" si="2"/>
        <v>0</v>
      </c>
      <c r="E25" s="20">
        <f t="shared" si="1"/>
        <v>82.646151113791902</v>
      </c>
      <c r="F25" s="27">
        <f>SUM(pHealthyStage1*C24,(1-SUM(pStage1Remission,pStage1Stage2))*F24,pStage2Stage1*I24,pRemissionStage1_trtA*O24)*(1-'Life Table - Female'!B79)</f>
        <v>46.276080686962231</v>
      </c>
      <c r="G25" s="19">
        <f t="shared" si="3"/>
        <v>51522.430892294477</v>
      </c>
      <c r="H25" s="20">
        <f t="shared" si="4"/>
        <v>28.337336990761958</v>
      </c>
      <c r="I25" s="27">
        <f>SUM(pHealthyStage2*C24,pStage1Stage2*F24,(1-SUM(pStage2Remission, pStage2Stage1, pStage2Stage3))*I24,pStage3Stage2*L24,pRemissionStage2_trtA*O24)*(1-'Life Table - Female'!B79)</f>
        <v>30.438525596887299</v>
      </c>
      <c r="J25" s="19">
        <f t="shared" si="5"/>
        <v>152502.12717060582</v>
      </c>
      <c r="K25" s="20">
        <f t="shared" si="6"/>
        <v>15.038404207101408</v>
      </c>
      <c r="L25" s="27">
        <f>SUM(pHealthyStage3*C24,pStage2Stage3*I24,(1-SUM(pStage3Death, pStage3Stage2))*L24)*(1-'Life Table - Female'!B79)</f>
        <v>12.555709731213641</v>
      </c>
      <c r="M25" s="19">
        <f t="shared" si="7"/>
        <v>202697.8045945474</v>
      </c>
      <c r="N25" s="20">
        <f t="shared" si="8"/>
        <v>3.1453107609498736</v>
      </c>
      <c r="O25" s="27">
        <f>SUM(pStage1Remission*F24,pStage2Remission*I24,(1-SUM(pRemissionStage1_trtA, pRemissionStage2_trtA))*O24)*(1-'Life Table - Female'!B79)</f>
        <v>367.930009350913</v>
      </c>
      <c r="P25" s="19">
        <f t="shared" si="9"/>
        <v>2585868.1580960006</v>
      </c>
      <c r="Q25" s="20">
        <f t="shared" si="10"/>
        <v>243.22522279120801</v>
      </c>
      <c r="R25" s="27">
        <f>SUM(pStage3Death*L24*(1-'Life Table - Female'!B79),R24)</f>
        <v>202.34810309896591</v>
      </c>
      <c r="S25" s="19">
        <f t="shared" si="11"/>
        <v>0</v>
      </c>
      <c r="T25" s="23">
        <f t="shared" si="12"/>
        <v>0</v>
      </c>
      <c r="U25" s="199">
        <f>SUM(B24*'Life Table - Female'!B79,U24)</f>
        <v>221.68264262628827</v>
      </c>
      <c r="V25" s="49">
        <f t="shared" si="14"/>
        <v>0</v>
      </c>
      <c r="W25" s="54">
        <v>1.3333333333333333</v>
      </c>
      <c r="X25" s="13">
        <f t="shared" si="15"/>
        <v>2992590.5207534484</v>
      </c>
      <c r="Y25" s="25">
        <f t="shared" si="15"/>
        <v>372.39242586381317</v>
      </c>
    </row>
    <row r="26" spans="1:25" x14ac:dyDescent="0.2">
      <c r="A26" s="10">
        <v>23</v>
      </c>
      <c r="B26" s="15">
        <f t="shared" si="13"/>
        <v>551.79486868980803</v>
      </c>
      <c r="C26" s="27">
        <f>(1-SUM(pHealthyStage1,pHealthyStage2,pHealthyStage3))*C25*(1-'Life Table - Female'!B80)</f>
        <v>105.71834208968222</v>
      </c>
      <c r="D26" s="19">
        <f t="shared" si="2"/>
        <v>0</v>
      </c>
      <c r="E26" s="20">
        <f t="shared" si="1"/>
        <v>35.711074396339775</v>
      </c>
      <c r="F26" s="27">
        <f>SUM(pHealthyStage1*C25,(1-SUM(pStage1Remission,pStage1Stage2))*F25,pStage2Stage1*I25,pRemissionStage1_trtA*O25)*(1-'Life Table - Female'!B80)</f>
        <v>43.440097021782051</v>
      </c>
      <c r="G26" s="19">
        <f t="shared" si="3"/>
        <v>23478.12129271714</v>
      </c>
      <c r="H26" s="20">
        <f t="shared" si="4"/>
        <v>12.912966710994427</v>
      </c>
      <c r="I26" s="27">
        <f>SUM(pHealthyStage2*C25,pStage1Stage2*F25,(1-SUM(pStage2Remission, pStage2Stage1, pStage2Stage3))*I25,pStage3Stage2*L25,pRemissionStage2_trtA*O25)*(1-'Life Table - Female'!B80)</f>
        <v>28.612632351179226</v>
      </c>
      <c r="J26" s="19">
        <f t="shared" si="5"/>
        <v>69589.366623336216</v>
      </c>
      <c r="K26" s="20">
        <f t="shared" si="6"/>
        <v>6.8622847642456559</v>
      </c>
      <c r="L26" s="27">
        <f>SUM(pHealthyStage3*C25,pStage2Stage3*I25,(1-SUM(pStage3Death, pStage3Stage2))*L25)*(1-'Life Table - Female'!B80)</f>
        <v>11.640538259253203</v>
      </c>
      <c r="M26" s="19">
        <f t="shared" si="7"/>
        <v>91224.947100836813</v>
      </c>
      <c r="N26" s="20">
        <f t="shared" si="8"/>
        <v>1.4155595239785019</v>
      </c>
      <c r="O26" s="27">
        <f>SUM(pStage1Remission*F25,pStage2Remission*I25,(1-SUM(pRemissionStage1_trtA, pRemissionStage2_trtA))*O25)*(1-'Life Table - Female'!B80)</f>
        <v>362.38325896791139</v>
      </c>
      <c r="P26" s="19">
        <f t="shared" si="9"/>
        <v>1236351.8210598857</v>
      </c>
      <c r="Q26" s="20">
        <f t="shared" si="10"/>
        <v>116.29051782246449</v>
      </c>
      <c r="R26" s="27">
        <f>SUM(pStage3Death*L25*(1-'Life Table - Female'!B80),R25)</f>
        <v>207.814654766291</v>
      </c>
      <c r="S26" s="19">
        <f t="shared" si="11"/>
        <v>0</v>
      </c>
      <c r="T26" s="23">
        <f t="shared" si="12"/>
        <v>0</v>
      </c>
      <c r="U26" s="199">
        <f>SUM(B25*'Life Table - Female'!B80,U25)</f>
        <v>240.39047654390114</v>
      </c>
      <c r="V26" s="49">
        <f t="shared" si="14"/>
        <v>0</v>
      </c>
      <c r="W26" s="54">
        <v>0.66666666666666663</v>
      </c>
      <c r="X26" s="13">
        <f t="shared" si="15"/>
        <v>1420644.256076776</v>
      </c>
      <c r="Y26" s="25">
        <f t="shared" si="15"/>
        <v>173.19240321802286</v>
      </c>
    </row>
    <row r="27" spans="1:25" x14ac:dyDescent="0.2">
      <c r="A27" s="10">
        <v>24</v>
      </c>
      <c r="B27" s="15">
        <f t="shared" si="13"/>
        <v>526.62811345414536</v>
      </c>
      <c r="C27" s="27">
        <f>(1-SUM(pHealthyStage1,pHealthyStage2,pHealthyStage3))*C26*(1-'Life Table - Female'!B81)</f>
        <v>93.714554882504871</v>
      </c>
      <c r="D27" s="19">
        <f t="shared" si="2"/>
        <v>0</v>
      </c>
      <c r="E27" s="20">
        <f t="shared" si="1"/>
        <v>61.46846817699285</v>
      </c>
      <c r="F27" s="27">
        <f>SUM(pHealthyStage1*C26,(1-SUM(pStage1Remission,pStage1Stage2))*F26,pStage2Stage1*I26,pRemissionStage1_trtA*O26)*(1-'Life Table - Female'!B81)</f>
        <v>40.661573145718869</v>
      </c>
      <c r="G27" s="19">
        <f t="shared" si="3"/>
        <v>42672.639153100252</v>
      </c>
      <c r="H27" s="20">
        <f t="shared" si="4"/>
        <v>23.469951534205141</v>
      </c>
      <c r="I27" s="27">
        <f>SUM(pHealthyStage2*C26,pStage1Stage2*F26,(1-SUM(pStage2Remission, pStage2Stage1, pStage2Stage3))*I26,pStage3Stage2*L26,pRemissionStage2_trtA*O26)*(1-'Life Table - Female'!B81)</f>
        <v>26.817013568882526</v>
      </c>
      <c r="J27" s="19">
        <f t="shared" si="5"/>
        <v>126645.05935111396</v>
      </c>
      <c r="K27" s="20">
        <f t="shared" si="6"/>
        <v>12.488610019345959</v>
      </c>
      <c r="L27" s="27">
        <f>SUM(pHealthyStage3*C26,pStage2Stage3*I26,(1-SUM(pStage3Death, pStage3Stage2))*L26)*(1-'Life Table - Female'!B81)</f>
        <v>10.762091367216023</v>
      </c>
      <c r="M27" s="19">
        <f t="shared" si="7"/>
        <v>163768.36127568103</v>
      </c>
      <c r="N27" s="20">
        <f t="shared" si="8"/>
        <v>2.5412331922088436</v>
      </c>
      <c r="O27" s="27">
        <f>SUM(pStage1Remission*F26,pStage2Remission*I26,(1-SUM(pRemissionStage1_trtA, pRemissionStage2_trtA))*O26)*(1-'Life Table - Female'!B81)</f>
        <v>354.67288048982311</v>
      </c>
      <c r="P27" s="19">
        <f t="shared" si="9"/>
        <v>2349604.1444057538</v>
      </c>
      <c r="Q27" s="20">
        <f t="shared" si="10"/>
        <v>221.00237001836297</v>
      </c>
      <c r="R27" s="27">
        <f>SUM(pStage3Death*L26*(1-'Life Table - Female'!B81),R26)</f>
        <v>212.86190052777505</v>
      </c>
      <c r="S27" s="19">
        <f t="shared" si="11"/>
        <v>0</v>
      </c>
      <c r="T27" s="23">
        <f t="shared" si="12"/>
        <v>0</v>
      </c>
      <c r="U27" s="199">
        <f>SUM(B26*'Life Table - Female'!B81,U26)</f>
        <v>260.50998601807976</v>
      </c>
      <c r="V27" s="49">
        <f t="shared" si="14"/>
        <v>0</v>
      </c>
      <c r="W27" s="54">
        <v>1.3333333333333333</v>
      </c>
      <c r="X27" s="13">
        <f t="shared" si="15"/>
        <v>2682690.2041856488</v>
      </c>
      <c r="Y27" s="25">
        <f t="shared" si="15"/>
        <v>320.97063294111575</v>
      </c>
    </row>
    <row r="28" spans="1:25" x14ac:dyDescent="0.2">
      <c r="A28" s="10">
        <v>25</v>
      </c>
      <c r="B28" s="15">
        <f t="shared" si="13"/>
        <v>500.6427128326992</v>
      </c>
      <c r="C28" s="27">
        <f>(1-SUM(pHealthyStage1,pHealthyStage2,pHealthyStage3))*C27*(1-'Life Table - Female'!B82)</f>
        <v>82.723907380772104</v>
      </c>
      <c r="D28" s="19">
        <f t="shared" si="2"/>
        <v>0</v>
      </c>
      <c r="E28" s="20">
        <f t="shared" si="1"/>
        <v>26.339599250761648</v>
      </c>
      <c r="F28" s="27">
        <f>SUM(pHealthyStage1*C27,(1-SUM(pStage1Remission,pStage1Stage2))*F27,pStage2Stage1*I27,pRemissionStage1_trtA*O27)*(1-'Life Table - Female'!B82)</f>
        <v>37.947511099189882</v>
      </c>
      <c r="G28" s="19">
        <f t="shared" si="3"/>
        <v>19332.205483297847</v>
      </c>
      <c r="H28" s="20">
        <f t="shared" si="4"/>
        <v>10.632713015813815</v>
      </c>
      <c r="I28" s="27">
        <f>SUM(pHealthyStage2*C27,pStage1Stage2*F27,(1-SUM(pStage2Remission, pStage2Stage1, pStage2Stage3))*I27,pStage3Stage2*L27,pRemissionStage2_trtA*O27)*(1-'Life Table - Female'!B82)</f>
        <v>25.057304072683728</v>
      </c>
      <c r="J28" s="19">
        <f t="shared" si="5"/>
        <v>57444.038283823749</v>
      </c>
      <c r="K28" s="20">
        <f t="shared" si="6"/>
        <v>5.664620441877064</v>
      </c>
      <c r="L28" s="27">
        <f>SUM(pHealthyStage3*C27,pStage2Stage3*I27,(1-SUM(pStage3Death, pStage3Stage2))*L27)*(1-'Life Table - Female'!B82)</f>
        <v>9.9217418139243332</v>
      </c>
      <c r="M28" s="19">
        <f t="shared" si="7"/>
        <v>73291.570808581193</v>
      </c>
      <c r="N28" s="20">
        <f t="shared" si="8"/>
        <v>1.1372829953055701</v>
      </c>
      <c r="O28" s="27">
        <f>SUM(pStage1Remission*F27,pStage2Remission*I27,(1-SUM(pRemissionStage1_trtA, pRemissionStage2_trtA))*O27)*(1-'Life Table - Female'!B82)</f>
        <v>344.99224846612913</v>
      </c>
      <c r="P28" s="19">
        <f t="shared" si="9"/>
        <v>1109452.8094114719</v>
      </c>
      <c r="Q28" s="20">
        <f t="shared" si="10"/>
        <v>104.35447217236616</v>
      </c>
      <c r="R28" s="27">
        <f>SUM(pStage3Death*L27*(1-'Life Table - Female'!B82),R27)</f>
        <v>217.50860822772407</v>
      </c>
      <c r="S28" s="19">
        <f t="shared" si="11"/>
        <v>0</v>
      </c>
      <c r="T28" s="23">
        <f t="shared" si="12"/>
        <v>0</v>
      </c>
      <c r="U28" s="199">
        <f>SUM(B27*'Life Table - Female'!B82,U27)</f>
        <v>281.84867893957693</v>
      </c>
      <c r="V28" s="49">
        <f t="shared" si="14"/>
        <v>0</v>
      </c>
      <c r="W28" s="54">
        <v>0.66666666666666663</v>
      </c>
      <c r="X28" s="13">
        <f t="shared" si="15"/>
        <v>1259520.6239871748</v>
      </c>
      <c r="Y28" s="25">
        <f t="shared" si="15"/>
        <v>148.12868787612425</v>
      </c>
    </row>
    <row r="29" spans="1:25" x14ac:dyDescent="0.2">
      <c r="A29" s="10">
        <v>26</v>
      </c>
      <c r="B29" s="15">
        <f t="shared" si="13"/>
        <v>473.65555253234635</v>
      </c>
      <c r="C29" s="27">
        <f>(1-SUM(pHealthyStage1,pHealthyStage2,pHealthyStage3))*C28*(1-'Life Table - Female'!B83)</f>
        <v>72.651411732250622</v>
      </c>
      <c r="D29" s="19">
        <f t="shared" si="2"/>
        <v>0</v>
      </c>
      <c r="E29" s="20">
        <f t="shared" si="1"/>
        <v>44.917435414944684</v>
      </c>
      <c r="F29" s="27">
        <f>SUM(pHealthyStage1*C28,(1-SUM(pStage1Remission,pStage1Stage2))*F28,pStage2Stage1*I28,pRemissionStage1_trtA*O28)*(1-'Life Table - Female'!B83)</f>
        <v>35.277345867042989</v>
      </c>
      <c r="G29" s="19">
        <f t="shared" si="3"/>
        <v>34896.894456687682</v>
      </c>
      <c r="H29" s="20">
        <f t="shared" si="4"/>
        <v>19.193291951178225</v>
      </c>
      <c r="I29" s="27">
        <f>SUM(pHealthyStage2*C28,pStage1Stage2*F28,(1-SUM(pStage2Remission, pStage2Stage1, pStage2Stage3))*I28,pStage3Stage2*L28,pRemissionStage2_trtA*O28)*(1-'Life Table - Female'!B83)</f>
        <v>23.320718410057225</v>
      </c>
      <c r="J29" s="19">
        <f t="shared" si="5"/>
        <v>103811.46400148734</v>
      </c>
      <c r="K29" s="20">
        <f t="shared" si="6"/>
        <v>10.236963811257779</v>
      </c>
      <c r="L29" s="27">
        <f>SUM(pHealthyStage3*C28,pStage2Stage3*I28,(1-SUM(pStage3Death, pStage3Stage2))*L28)*(1-'Life Table - Female'!B83)</f>
        <v>9.1133640725432006</v>
      </c>
      <c r="M29" s="19">
        <f t="shared" si="7"/>
        <v>130718.6637016614</v>
      </c>
      <c r="N29" s="20">
        <f t="shared" si="8"/>
        <v>2.0283930574395734</v>
      </c>
      <c r="O29" s="27">
        <f>SUM(pStage1Remission*F28,pStage2Remission*I28,(1-SUM(pRemissionStage1_trtA, pRemissionStage2_trtA))*O28)*(1-'Life Table - Female'!B83)</f>
        <v>333.29271245045231</v>
      </c>
      <c r="P29" s="19">
        <f t="shared" si="9"/>
        <v>2081220.4558869577</v>
      </c>
      <c r="Q29" s="20">
        <f t="shared" si="10"/>
        <v>195.75835971213962</v>
      </c>
      <c r="R29" s="27">
        <f>SUM(pStage3Death*L28*(1-'Life Table - Female'!B83),R28)</f>
        <v>221.77072776541291</v>
      </c>
      <c r="S29" s="19">
        <f t="shared" si="11"/>
        <v>0</v>
      </c>
      <c r="T29" s="23">
        <f t="shared" si="12"/>
        <v>0</v>
      </c>
      <c r="U29" s="199">
        <f>SUM(B28*'Life Table - Female'!B83,U28)</f>
        <v>304.57371970224091</v>
      </c>
      <c r="V29" s="49">
        <f t="shared" si="14"/>
        <v>0</v>
      </c>
      <c r="W29" s="54">
        <v>1.3333333333333333</v>
      </c>
      <c r="X29" s="13">
        <f t="shared" si="15"/>
        <v>2350647.478046794</v>
      </c>
      <c r="Y29" s="25">
        <f t="shared" si="15"/>
        <v>272.13444394695989</v>
      </c>
    </row>
    <row r="30" spans="1:25" x14ac:dyDescent="0.2">
      <c r="A30" s="10">
        <v>27</v>
      </c>
      <c r="B30" s="15">
        <f t="shared" si="13"/>
        <v>445.84735125788654</v>
      </c>
      <c r="C30" s="27">
        <f>(1-SUM(pHealthyStage1,pHealthyStage2,pHealthyStage3))*C29*(1-'Life Table - Female'!B84)</f>
        <v>63.464671025469102</v>
      </c>
      <c r="D30" s="19">
        <f t="shared" si="2"/>
        <v>0</v>
      </c>
      <c r="E30" s="20">
        <f t="shared" si="1"/>
        <v>19.047400215617639</v>
      </c>
      <c r="F30" s="27">
        <f>SUM(pHealthyStage1*C29,(1-SUM(pStage1Remission,pStage1Stage2))*F29,pStage2Stage1*I29,pRemissionStage1_trtA*O29)*(1-'Life Table - Female'!B84)</f>
        <v>32.658190874765275</v>
      </c>
      <c r="G30" s="19">
        <f t="shared" si="3"/>
        <v>15682.517453782721</v>
      </c>
      <c r="H30" s="20">
        <f t="shared" si="4"/>
        <v>8.6253845995804959</v>
      </c>
      <c r="I30" s="27">
        <f>SUM(pHealthyStage2*C29,pStage1Stage2*F29,(1-SUM(pStage2Remission, pStage2Stage1, pStage2Stage3))*I29,pStage3Stage2*L29,pRemissionStage2_trtA*O29)*(1-'Life Table - Female'!B84)</f>
        <v>21.612576572710129</v>
      </c>
      <c r="J30" s="19">
        <f t="shared" si="5"/>
        <v>46702.778111658081</v>
      </c>
      <c r="K30" s="20">
        <f t="shared" si="6"/>
        <v>4.6054128415662836</v>
      </c>
      <c r="L30" s="27">
        <f>SUM(pHealthyStage3*C29,pStage2Stage3*I29,(1-SUM(pStage3Death, pStage3Stage2))*L29)*(1-'Life Table - Female'!B84)</f>
        <v>8.3379474980283668</v>
      </c>
      <c r="M30" s="19">
        <f t="shared" si="7"/>
        <v>58056.495265941689</v>
      </c>
      <c r="N30" s="20">
        <f t="shared" si="8"/>
        <v>0.9008766506784055</v>
      </c>
      <c r="O30" s="27">
        <f>SUM(pStage1Remission*F29,pStage2Remission*I29,(1-SUM(pRemissionStage1_trtA, pRemissionStage2_trtA))*O29)*(1-'Life Table - Female'!B84)</f>
        <v>319.77396528691366</v>
      </c>
      <c r="P30" s="19">
        <f t="shared" si="9"/>
        <v>969322.17923884571</v>
      </c>
      <c r="Q30" s="20">
        <f t="shared" si="10"/>
        <v>91.173868344247865</v>
      </c>
      <c r="R30" s="27">
        <f>SUM(pStage3Death*L29*(1-'Life Table - Female'!B84),R29)</f>
        <v>225.66468683525767</v>
      </c>
      <c r="S30" s="19">
        <f t="shared" si="11"/>
        <v>0</v>
      </c>
      <c r="T30" s="23">
        <f t="shared" si="12"/>
        <v>0</v>
      </c>
      <c r="U30" s="199">
        <f>SUM(B29*'Life Table - Female'!B84,U29)</f>
        <v>328.48796190685596</v>
      </c>
      <c r="V30" s="49">
        <f t="shared" si="14"/>
        <v>0</v>
      </c>
      <c r="W30" s="54">
        <v>0.66666666666666663</v>
      </c>
      <c r="X30" s="13">
        <f t="shared" si="15"/>
        <v>1089763.9700702282</v>
      </c>
      <c r="Y30" s="25">
        <f t="shared" si="15"/>
        <v>124.35294265169068</v>
      </c>
    </row>
    <row r="31" spans="1:25" x14ac:dyDescent="0.2">
      <c r="A31" s="10">
        <v>28</v>
      </c>
      <c r="B31" s="15">
        <f t="shared" si="13"/>
        <v>417.15086634591125</v>
      </c>
      <c r="C31" s="27">
        <f>(1-SUM(pHealthyStage1,pHealthyStage2,pHealthyStage3))*C30*(1-'Life Table - Female'!B85)</f>
        <v>55.093090752859403</v>
      </c>
      <c r="D31" s="19">
        <f t="shared" si="2"/>
        <v>0</v>
      </c>
      <c r="E31" s="20">
        <f t="shared" si="1"/>
        <v>32.106545637844512</v>
      </c>
      <c r="F31" s="27">
        <f>SUM(pHealthyStage1*C30,(1-SUM(pStage1Remission,pStage1Stage2))*F30,pStage2Stage1*I30,pRemissionStage1_trtA*O30)*(1-'Life Table - Female'!B85)</f>
        <v>30.078555611188769</v>
      </c>
      <c r="G31" s="19">
        <f t="shared" si="3"/>
        <v>28046.15984340154</v>
      </c>
      <c r="H31" s="20">
        <f t="shared" si="4"/>
        <v>15.425387913870846</v>
      </c>
      <c r="I31" s="27">
        <f>SUM(pHealthyStage2*C30,pStage1Stage2*F30,(1-SUM(pStage2Remission, pStage2Stage1, pStage2Stage3))*I30,pStage3Stage2*L30,pRemissionStage2_trtA*O30)*(1-'Life Table - Female'!B85)</f>
        <v>19.925791123695955</v>
      </c>
      <c r="J31" s="19">
        <f t="shared" si="5"/>
        <v>83607.360851492296</v>
      </c>
      <c r="K31" s="20">
        <f t="shared" si="6"/>
        <v>8.2446147506332679</v>
      </c>
      <c r="L31" s="27">
        <f>SUM(pHealthyStage3*C30,pStage2Stage3*I30,(1-SUM(pStage3Death, pStage3Stage2))*L30)*(1-'Life Table - Female'!B85)</f>
        <v>7.591554090358235</v>
      </c>
      <c r="M31" s="19">
        <f t="shared" si="7"/>
        <v>102639.6400923859</v>
      </c>
      <c r="N31" s="20">
        <f t="shared" si="8"/>
        <v>1.5926840703990917</v>
      </c>
      <c r="O31" s="27">
        <f>SUM(pStage1Remission*F30,pStage2Remission*I30,(1-SUM(pRemissionStage1_trtA, pRemissionStage2_trtA))*O30)*(1-'Life Table - Female'!B85)</f>
        <v>304.46187476780892</v>
      </c>
      <c r="P31" s="19">
        <f t="shared" si="9"/>
        <v>1792052.5301942879</v>
      </c>
      <c r="Q31" s="20">
        <f t="shared" si="10"/>
        <v>168.55939640441321</v>
      </c>
      <c r="R31" s="27">
        <f>SUM(pStage3Death*L30*(1-'Life Table - Female'!B85),R30)</f>
        <v>229.20505923681444</v>
      </c>
      <c r="S31" s="19">
        <f t="shared" si="11"/>
        <v>0</v>
      </c>
      <c r="T31" s="23">
        <f t="shared" si="12"/>
        <v>0</v>
      </c>
      <c r="U31" s="199">
        <f>SUM(B30*'Life Table - Female'!B85,U30)</f>
        <v>353.64407441727445</v>
      </c>
      <c r="V31" s="49">
        <f t="shared" si="14"/>
        <v>0</v>
      </c>
      <c r="W31" s="54">
        <v>1.3333333333333333</v>
      </c>
      <c r="X31" s="13">
        <f t="shared" si="15"/>
        <v>2006345.6909815676</v>
      </c>
      <c r="Y31" s="25">
        <f t="shared" si="15"/>
        <v>225.92862877716092</v>
      </c>
    </row>
    <row r="32" spans="1:25" x14ac:dyDescent="0.2">
      <c r="A32" s="10">
        <v>29</v>
      </c>
      <c r="B32" s="15">
        <f t="shared" si="13"/>
        <v>387.50795275862441</v>
      </c>
      <c r="C32" s="27">
        <f>(1-SUM(pHealthyStage1,pHealthyStage2,pHealthyStage3))*C31*(1-'Life Table - Female'!B86)</f>
        <v>47.472671522189756</v>
      </c>
      <c r="D32" s="19">
        <f t="shared" si="2"/>
        <v>0</v>
      </c>
      <c r="E32" s="20">
        <f t="shared" si="1"/>
        <v>13.429903646113155</v>
      </c>
      <c r="F32" s="27">
        <f>SUM(pHealthyStage1*C31,(1-SUM(pStage1Remission,pStage1Stage2))*F31,pStage2Stage1*I31,pRemissionStage1_trtA*O31)*(1-'Life Table - Female'!B86)</f>
        <v>27.528126623461269</v>
      </c>
      <c r="G32" s="19">
        <f t="shared" si="3"/>
        <v>12460.224419880184</v>
      </c>
      <c r="H32" s="20">
        <f t="shared" si="4"/>
        <v>6.8531234309341018</v>
      </c>
      <c r="I32" s="27">
        <f>SUM(pHealthyStage2*C31,pStage1Stage2*F31,(1-SUM(pStage2Remission, pStage2Stage1, pStage2Stage3))*I31,pStage3Stage2*L31,pRemissionStage2_trtA*O31)*(1-'Life Table - Female'!B86)</f>
        <v>18.253952693454494</v>
      </c>
      <c r="J32" s="19">
        <f t="shared" si="5"/>
        <v>37180.792430827038</v>
      </c>
      <c r="K32" s="20">
        <f t="shared" si="6"/>
        <v>3.6664392535954438</v>
      </c>
      <c r="L32" s="27">
        <f>SUM(pHealthyStage3*C31,pStage2Stage3*I31,(1-SUM(pStage3Death, pStage3Stage2))*L31)*(1-'Life Table - Female'!B86)</f>
        <v>6.8705731124369001</v>
      </c>
      <c r="M32" s="19">
        <f t="shared" si="7"/>
        <v>45093.108537845663</v>
      </c>
      <c r="N32" s="20">
        <f t="shared" si="8"/>
        <v>0.69972064972519132</v>
      </c>
      <c r="O32" s="27">
        <f>SUM(pStage1Remission*F31,pStage2Remission*I31,(1-SUM(pRemissionStage1_trtA, pRemissionStage2_trtA))*O31)*(1-'Life Table - Female'!B86)</f>
        <v>287.38262880708197</v>
      </c>
      <c r="P32" s="19">
        <f t="shared" si="9"/>
        <v>821128.47236082086</v>
      </c>
      <c r="Q32" s="20">
        <f t="shared" si="10"/>
        <v>77.234856311166311</v>
      </c>
      <c r="R32" s="27">
        <f>SUM(pStage3Death*L31*(1-'Life Table - Female'!B86),R31)</f>
        <v>232.404705092689</v>
      </c>
      <c r="S32" s="19">
        <f t="shared" si="11"/>
        <v>0</v>
      </c>
      <c r="T32" s="23">
        <f t="shared" si="12"/>
        <v>0</v>
      </c>
      <c r="U32" s="199">
        <f>SUM(B31*'Life Table - Female'!B86,U31)</f>
        <v>380.08734214868679</v>
      </c>
      <c r="V32" s="49">
        <f t="shared" si="14"/>
        <v>0</v>
      </c>
      <c r="W32" s="54">
        <v>0.66666666666666663</v>
      </c>
      <c r="X32" s="13">
        <f t="shared" si="15"/>
        <v>915862.59774937376</v>
      </c>
      <c r="Y32" s="25">
        <f t="shared" si="15"/>
        <v>101.8840432915342</v>
      </c>
    </row>
    <row r="33" spans="1:25" ht="16" thickBot="1" x14ac:dyDescent="0.25">
      <c r="A33" s="11">
        <v>30</v>
      </c>
      <c r="B33" s="166">
        <f t="shared" si="13"/>
        <v>356.93763080879671</v>
      </c>
      <c r="C33" s="28">
        <f>(1-SUM(pHealthyStage1,pHealthyStage2,pHealthyStage3))*C32*(1-'Life Table - Female'!B87)</f>
        <v>40.552922789708326</v>
      </c>
      <c r="D33" s="21">
        <f t="shared" si="2"/>
        <v>0</v>
      </c>
      <c r="E33" s="22">
        <f t="shared" si="1"/>
        <v>5.5690890830102351</v>
      </c>
      <c r="F33" s="28">
        <f>SUM(pHealthyStage1*C32,(1-SUM(pStage1Remission,pStage1Stage2))*F32,pStage2Stage1*I32,pRemissionStage1_trtA*O32)*(1-'Life Table - Female'!B87)</f>
        <v>25.002470477728373</v>
      </c>
      <c r="G33" s="21">
        <f t="shared" si="3"/>
        <v>5493.6996224061022</v>
      </c>
      <c r="H33" s="22">
        <f t="shared" si="4"/>
        <v>3.0215347923233562</v>
      </c>
      <c r="I33" s="28">
        <f>SUM(pHealthyStage2*C32,pStage1Stage2*F32,(1-SUM(pStage2Remission, pStage2Stage1, pStage2Stage3))*I32,pStage3Stage2*L32,pRemissionStage2_trtA*O32)*(1-'Life Table - Female'!B87)</f>
        <v>16.594479630576593</v>
      </c>
      <c r="J33" s="21">
        <f t="shared" si="5"/>
        <v>16408.094133249539</v>
      </c>
      <c r="K33" s="22">
        <f t="shared" si="6"/>
        <v>1.6180203936954407</v>
      </c>
      <c r="L33" s="28">
        <f>SUM(pHealthyStage3*C32,pStage2Stage3*I32,(1-SUM(pStage3Death, pStage3Stage2))*L32)*(1-'Life Table - Female'!B87)</f>
        <v>6.17289099516183</v>
      </c>
      <c r="M33" s="21">
        <f t="shared" si="7"/>
        <v>19667.021701415379</v>
      </c>
      <c r="N33" s="22">
        <f t="shared" si="8"/>
        <v>0.30517792295299723</v>
      </c>
      <c r="O33" s="28">
        <f>SUM(pStage1Remission*F32,pStage2Remission*I32,(1-SUM(pRemissionStage1_trtA, pRemissionStage2_trtA))*O32)*(1-'Life Table - Female'!B87)</f>
        <v>268.61486691562158</v>
      </c>
      <c r="P33" s="21">
        <f t="shared" si="9"/>
        <v>372574.75421382388</v>
      </c>
      <c r="Q33" s="22">
        <f t="shared" si="10"/>
        <v>35.044160049815119</v>
      </c>
      <c r="R33" s="28">
        <f>SUM(pStage3Death*L32*(1-'Life Table - Female'!B87),R32)</f>
        <v>235.27546016189439</v>
      </c>
      <c r="S33" s="21">
        <f t="shared" si="11"/>
        <v>0</v>
      </c>
      <c r="T33" s="24">
        <f t="shared" si="12"/>
        <v>0</v>
      </c>
      <c r="U33" s="177">
        <f>SUM(B32*'Life Table - Female'!B87,U32)</f>
        <v>407.78690902930913</v>
      </c>
      <c r="V33" s="49">
        <f t="shared" si="14"/>
        <v>0</v>
      </c>
      <c r="W33" s="54">
        <v>0.33333333333333331</v>
      </c>
      <c r="X33" s="13">
        <f t="shared" si="15"/>
        <v>414143.56967089488</v>
      </c>
      <c r="Y33" s="25">
        <f t="shared" si="15"/>
        <v>45.557982241797149</v>
      </c>
    </row>
    <row r="34" spans="1:25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7"/>
      <c r="V34" s="29" t="s">
        <v>80</v>
      </c>
      <c r="W34" s="53"/>
      <c r="X34" s="30">
        <f>SUM(X3:X33)</f>
        <v>63635882.959287725</v>
      </c>
      <c r="Y34" s="31">
        <f>SUM(Y3:Y33)</f>
        <v>13981.952339867854</v>
      </c>
    </row>
    <row r="35" spans="1:25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7"/>
      <c r="V35" s="8"/>
      <c r="W35" s="8"/>
      <c r="X35" s="7"/>
      <c r="Y35" s="6"/>
    </row>
    <row r="36" spans="1:25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7"/>
      <c r="V36" s="8"/>
      <c r="W36" s="8"/>
      <c r="X36" s="7"/>
      <c r="Y36" s="6"/>
    </row>
    <row r="37" spans="1:25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7"/>
      <c r="V37" s="8"/>
      <c r="W37" s="8"/>
      <c r="X37" s="7"/>
      <c r="Y37" s="6"/>
    </row>
    <row r="38" spans="1:25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7"/>
      <c r="V38" s="8"/>
      <c r="W38" s="8"/>
      <c r="X38" s="7"/>
      <c r="Y38" s="6"/>
    </row>
    <row r="39" spans="1:25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7"/>
      <c r="V39" s="8"/>
      <c r="W39" s="8"/>
      <c r="X39" s="7"/>
      <c r="Y39" s="6"/>
    </row>
    <row r="40" spans="1:25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7"/>
      <c r="V40" s="8"/>
      <c r="W40" s="8"/>
      <c r="X40" s="7"/>
      <c r="Y40" s="6"/>
    </row>
    <row r="41" spans="1:25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7"/>
      <c r="V41" s="8"/>
      <c r="W41" s="8"/>
      <c r="X41" s="7"/>
      <c r="Y41" s="6"/>
    </row>
    <row r="42" spans="1:25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7"/>
      <c r="V42" s="8"/>
      <c r="W42" s="8"/>
      <c r="X42" s="7"/>
      <c r="Y42" s="6"/>
    </row>
    <row r="43" spans="1:25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7"/>
      <c r="V43" s="8"/>
      <c r="W43" s="8"/>
      <c r="X43" s="7"/>
      <c r="Y43" s="6"/>
    </row>
    <row r="44" spans="1:25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7"/>
      <c r="V44" s="8"/>
      <c r="W44" s="8"/>
      <c r="X44" s="7"/>
      <c r="Y44" s="6"/>
    </row>
    <row r="45" spans="1:25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7"/>
      <c r="V45" s="8"/>
      <c r="W45" s="8"/>
      <c r="X45" s="7"/>
      <c r="Y45" s="6"/>
    </row>
    <row r="46" spans="1:25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7"/>
      <c r="V46" s="8"/>
      <c r="W46" s="8"/>
      <c r="X46" s="7"/>
      <c r="Y46" s="6"/>
    </row>
    <row r="47" spans="1:25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7"/>
      <c r="V47" s="8"/>
      <c r="W47" s="8"/>
      <c r="X47" s="7"/>
      <c r="Y47" s="6"/>
    </row>
    <row r="48" spans="1:25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7"/>
      <c r="V48" s="8"/>
      <c r="W48" s="8"/>
      <c r="X48" s="7"/>
      <c r="Y48" s="6"/>
    </row>
    <row r="49" spans="2:25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7"/>
      <c r="V49" s="8"/>
      <c r="W49" s="8"/>
      <c r="X49" s="7"/>
      <c r="Y49" s="6"/>
    </row>
    <row r="50" spans="2:25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7"/>
      <c r="V50" s="8"/>
      <c r="W50" s="8"/>
      <c r="X50" s="7"/>
      <c r="Y50" s="6"/>
    </row>
    <row r="51" spans="2:25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7"/>
      <c r="V51" s="8"/>
      <c r="W51" s="8"/>
      <c r="X51" s="7"/>
      <c r="Y51" s="6"/>
    </row>
    <row r="52" spans="2:25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7"/>
      <c r="V52" s="8"/>
      <c r="W52" s="8"/>
      <c r="X52" s="7"/>
      <c r="Y52" s="6"/>
    </row>
    <row r="53" spans="2:25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7"/>
      <c r="V53" s="8"/>
      <c r="W53" s="8"/>
      <c r="X53" s="7"/>
      <c r="Y53" s="6"/>
    </row>
    <row r="54" spans="2:25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7"/>
      <c r="V54" s="8"/>
      <c r="W54" s="8"/>
      <c r="X54" s="7"/>
      <c r="Y54" s="6"/>
    </row>
    <row r="55" spans="2:25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7"/>
      <c r="V55" s="8"/>
      <c r="W55" s="8"/>
      <c r="X55" s="7"/>
      <c r="Y55" s="6"/>
    </row>
    <row r="56" spans="2:25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7"/>
      <c r="V56" s="8"/>
      <c r="W56" s="8"/>
      <c r="X56" s="7"/>
      <c r="Y56" s="6"/>
    </row>
    <row r="57" spans="2:25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7"/>
      <c r="V57" s="8"/>
      <c r="W57" s="8"/>
      <c r="X57" s="7"/>
      <c r="Y57" s="6"/>
    </row>
    <row r="58" spans="2:25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7"/>
      <c r="V58" s="8"/>
      <c r="W58" s="8"/>
      <c r="X58" s="7"/>
      <c r="Y58" s="6"/>
    </row>
    <row r="59" spans="2:25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7"/>
      <c r="V59" s="8"/>
      <c r="W59" s="8"/>
      <c r="X59" s="7"/>
      <c r="Y59" s="6"/>
    </row>
    <row r="60" spans="2:25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7"/>
      <c r="V60" s="8"/>
      <c r="W60" s="8"/>
      <c r="X60" s="7"/>
      <c r="Y60" s="6"/>
    </row>
    <row r="61" spans="2:25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7"/>
      <c r="V61" s="8"/>
      <c r="W61" s="8"/>
      <c r="X61" s="7"/>
      <c r="Y61" s="6"/>
    </row>
    <row r="62" spans="2:25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7"/>
      <c r="V62" s="8"/>
      <c r="W62" s="8"/>
      <c r="X62" s="7"/>
      <c r="Y62" s="6"/>
    </row>
    <row r="63" spans="2:25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7"/>
      <c r="V63" s="8"/>
      <c r="W63" s="8"/>
      <c r="X63" s="7"/>
      <c r="Y63" s="6"/>
    </row>
    <row r="64" spans="2:25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7"/>
      <c r="V64" s="8"/>
      <c r="W64" s="8"/>
      <c r="X64" s="7"/>
      <c r="Y64" s="6"/>
    </row>
    <row r="65" spans="2:25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7"/>
      <c r="V65" s="8"/>
      <c r="W65" s="8"/>
      <c r="X65" s="7"/>
      <c r="Y65" s="6"/>
    </row>
    <row r="66" spans="2:25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7"/>
      <c r="V66" s="8"/>
      <c r="W66" s="8"/>
      <c r="X66" s="7"/>
      <c r="Y66" s="6"/>
    </row>
    <row r="67" spans="2:25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7"/>
      <c r="V67" s="8"/>
      <c r="W67" s="8"/>
      <c r="X67" s="7"/>
      <c r="Y67" s="6"/>
    </row>
    <row r="68" spans="2:25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7"/>
      <c r="V68" s="8"/>
      <c r="W68" s="8"/>
      <c r="X68" s="7"/>
      <c r="Y68" s="6"/>
    </row>
    <row r="69" spans="2:25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7"/>
      <c r="V69" s="8"/>
      <c r="W69" s="8"/>
      <c r="X69" s="7"/>
      <c r="Y69" s="6"/>
    </row>
    <row r="70" spans="2:25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7"/>
      <c r="V70" s="8"/>
      <c r="W70" s="8"/>
      <c r="X70" s="7"/>
      <c r="Y70" s="6"/>
    </row>
    <row r="71" spans="2:25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7"/>
      <c r="V71" s="8"/>
      <c r="W71" s="8"/>
      <c r="X71" s="7"/>
      <c r="Y71" s="6"/>
    </row>
    <row r="72" spans="2:25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7"/>
      <c r="V72" s="8"/>
      <c r="W72" s="8"/>
      <c r="X72" s="7"/>
      <c r="Y72" s="6"/>
    </row>
    <row r="73" spans="2:25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7"/>
      <c r="V73" s="8"/>
      <c r="W73" s="8"/>
      <c r="X73" s="7"/>
      <c r="Y73" s="6"/>
    </row>
    <row r="74" spans="2:25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7"/>
      <c r="V74" s="8"/>
      <c r="W74" s="8"/>
      <c r="X74" s="7"/>
      <c r="Y74" s="6"/>
    </row>
    <row r="75" spans="2:25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7"/>
      <c r="V75" s="8"/>
      <c r="W75" s="8"/>
      <c r="X75" s="7"/>
      <c r="Y75" s="6"/>
    </row>
    <row r="76" spans="2:25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7"/>
      <c r="V76" s="8"/>
      <c r="W76" s="8"/>
      <c r="X76" s="7"/>
      <c r="Y76" s="6"/>
    </row>
    <row r="77" spans="2:25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7"/>
      <c r="V77" s="8"/>
      <c r="W77" s="8"/>
      <c r="X77" s="7"/>
      <c r="Y77" s="6"/>
    </row>
    <row r="78" spans="2:25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7"/>
      <c r="V78" s="8"/>
      <c r="W78" s="8"/>
      <c r="X78" s="7"/>
      <c r="Y78" s="6"/>
    </row>
    <row r="79" spans="2:25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7"/>
      <c r="V79" s="8"/>
      <c r="W79" s="8"/>
      <c r="X79" s="7"/>
      <c r="Y79" s="6"/>
    </row>
    <row r="80" spans="2:25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7"/>
      <c r="V80" s="8"/>
      <c r="W80" s="8"/>
      <c r="X80" s="7"/>
      <c r="Y80" s="6"/>
    </row>
    <row r="81" spans="2:25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7"/>
      <c r="V81" s="8"/>
      <c r="W81" s="8"/>
      <c r="X81" s="7"/>
      <c r="Y81" s="6"/>
    </row>
    <row r="82" spans="2:25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7"/>
      <c r="V82" s="8"/>
      <c r="W82" s="8"/>
      <c r="X82" s="7"/>
      <c r="Y82" s="6"/>
    </row>
    <row r="83" spans="2:25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7"/>
      <c r="V83" s="8"/>
      <c r="W83" s="8"/>
      <c r="X83" s="7"/>
      <c r="Y83" s="6"/>
    </row>
    <row r="84" spans="2:25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7"/>
      <c r="V84" s="8"/>
      <c r="W84" s="8"/>
      <c r="X84" s="7"/>
      <c r="Y84" s="6"/>
    </row>
    <row r="85" spans="2:25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7"/>
      <c r="V85" s="8"/>
      <c r="W85" s="8"/>
      <c r="X85" s="7"/>
      <c r="Y85" s="6"/>
    </row>
    <row r="86" spans="2:25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7"/>
      <c r="V86" s="8"/>
      <c r="W86" s="8"/>
      <c r="X86" s="7"/>
      <c r="Y86" s="6"/>
    </row>
    <row r="87" spans="2:25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7"/>
      <c r="V87" s="8"/>
      <c r="W87" s="8"/>
      <c r="X87" s="7"/>
      <c r="Y87" s="6"/>
    </row>
    <row r="88" spans="2:25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7"/>
      <c r="V88" s="8"/>
      <c r="W88" s="8"/>
      <c r="X88" s="7"/>
      <c r="Y88" s="6"/>
    </row>
    <row r="89" spans="2:25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7"/>
      <c r="V89" s="8"/>
      <c r="W89" s="8"/>
      <c r="X89" s="7"/>
      <c r="Y89" s="6"/>
    </row>
    <row r="90" spans="2:25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7"/>
      <c r="V90" s="8"/>
      <c r="W90" s="8"/>
      <c r="X90" s="7"/>
      <c r="Y90" s="6"/>
    </row>
    <row r="91" spans="2:25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7"/>
      <c r="V91" s="8"/>
      <c r="W91" s="8"/>
      <c r="X91" s="7"/>
      <c r="Y91" s="6"/>
    </row>
    <row r="92" spans="2:25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7"/>
      <c r="V92" s="8"/>
      <c r="W92" s="8"/>
      <c r="X92" s="7"/>
      <c r="Y92" s="6"/>
    </row>
    <row r="93" spans="2:25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7"/>
      <c r="V93" s="8"/>
      <c r="W93" s="8"/>
      <c r="X93" s="7"/>
      <c r="Y93" s="6"/>
    </row>
    <row r="94" spans="2:25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7"/>
      <c r="V94" s="8"/>
      <c r="W94" s="8"/>
      <c r="X94" s="7"/>
      <c r="Y94" s="6"/>
    </row>
    <row r="95" spans="2:25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7"/>
      <c r="V95" s="8"/>
      <c r="W95" s="8"/>
      <c r="X95" s="7"/>
      <c r="Y95" s="6"/>
    </row>
    <row r="96" spans="2:25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7"/>
      <c r="V96" s="8"/>
      <c r="W96" s="8"/>
      <c r="X96" s="7"/>
      <c r="Y96" s="6"/>
    </row>
    <row r="97" spans="2:25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7"/>
      <c r="V97" s="8"/>
      <c r="W97" s="8"/>
      <c r="X97" s="7"/>
      <c r="Y97" s="6"/>
    </row>
    <row r="98" spans="2:25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7"/>
      <c r="V98" s="8"/>
      <c r="W98" s="8"/>
      <c r="X98" s="7"/>
      <c r="Y98" s="6"/>
    </row>
    <row r="99" spans="2:25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7"/>
      <c r="V99" s="8"/>
      <c r="W99" s="8"/>
      <c r="X99" s="7"/>
      <c r="Y99" s="6"/>
    </row>
    <row r="100" spans="2:25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7"/>
      <c r="V100" s="8"/>
      <c r="W100" s="8"/>
      <c r="X100" s="7"/>
      <c r="Y100" s="6"/>
    </row>
    <row r="101" spans="2:25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7"/>
      <c r="V101" s="8"/>
      <c r="W101" s="8"/>
      <c r="X101" s="7"/>
      <c r="Y101" s="6"/>
    </row>
    <row r="102" spans="2:25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7"/>
      <c r="V102" s="8"/>
      <c r="W102" s="8"/>
      <c r="X102" s="7"/>
      <c r="Y102" s="6"/>
    </row>
    <row r="103" spans="2:25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7"/>
      <c r="V103" s="8"/>
      <c r="W103" s="8"/>
      <c r="X103" s="7"/>
      <c r="Y103" s="6"/>
    </row>
    <row r="104" spans="2:25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7"/>
      <c r="V104" s="8"/>
      <c r="W104" s="8"/>
      <c r="X104" s="7"/>
      <c r="Y104" s="6"/>
    </row>
    <row r="105" spans="2:25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7"/>
      <c r="V105" s="8"/>
      <c r="W105" s="8"/>
      <c r="X105" s="7"/>
      <c r="Y105" s="6"/>
    </row>
    <row r="106" spans="2:25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7"/>
      <c r="V106" s="8"/>
      <c r="W106" s="8"/>
      <c r="X106" s="7"/>
      <c r="Y106" s="6"/>
    </row>
    <row r="107" spans="2:25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7"/>
      <c r="V107" s="8"/>
      <c r="W107" s="8"/>
      <c r="X107" s="7"/>
      <c r="Y107" s="6"/>
    </row>
    <row r="108" spans="2:25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7"/>
      <c r="V108" s="8"/>
      <c r="W108" s="8"/>
      <c r="X108" s="7"/>
      <c r="Y108" s="6"/>
    </row>
    <row r="109" spans="2:25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7"/>
      <c r="V109" s="8"/>
      <c r="W109" s="8"/>
      <c r="X109" s="7"/>
      <c r="Y109" s="6"/>
    </row>
    <row r="110" spans="2:25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7"/>
      <c r="V110" s="8"/>
      <c r="W110" s="8"/>
      <c r="X110" s="7"/>
      <c r="Y110" s="6"/>
    </row>
    <row r="111" spans="2:25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7"/>
      <c r="V111" s="8"/>
      <c r="W111" s="8"/>
      <c r="X111" s="7"/>
      <c r="Y111" s="6"/>
    </row>
    <row r="112" spans="2:25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7"/>
      <c r="V112" s="8"/>
      <c r="W112" s="8"/>
      <c r="X112" s="7"/>
      <c r="Y112" s="6"/>
    </row>
    <row r="113" spans="2:25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7"/>
      <c r="V113" s="8"/>
      <c r="W113" s="8"/>
      <c r="X113" s="7"/>
      <c r="Y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X113"/>
  <sheetViews>
    <sheetView workbookViewId="0">
      <selection activeCell="P26" sqref="P26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7.1640625" style="1" bestFit="1" customWidth="1"/>
    <col min="22" max="22" width="21.33203125" style="1" bestFit="1" customWidth="1"/>
    <col min="23" max="23" width="13.5" style="1" bestFit="1" customWidth="1"/>
    <col min="24" max="24" width="15" style="1" bestFit="1" customWidth="1"/>
    <col min="25" max="2000" width="8.83203125" style="1"/>
    <col min="2001" max="2001" width="2.33203125" style="1" customWidth="1"/>
    <col min="2002" max="16384" width="8.83203125" style="1"/>
  </cols>
  <sheetData>
    <row r="1" spans="1:24" x14ac:dyDescent="0.2">
      <c r="C1" s="216" t="s">
        <v>7</v>
      </c>
      <c r="D1" s="217"/>
      <c r="E1" s="218"/>
      <c r="F1" s="219" t="s">
        <v>8</v>
      </c>
      <c r="G1" s="220"/>
      <c r="H1" s="221"/>
      <c r="I1" s="222" t="s">
        <v>9</v>
      </c>
      <c r="J1" s="223"/>
      <c r="K1" s="224"/>
      <c r="L1" s="225" t="s">
        <v>10</v>
      </c>
      <c r="M1" s="226"/>
      <c r="N1" s="227"/>
      <c r="O1" s="228" t="s">
        <v>11</v>
      </c>
      <c r="P1" s="229"/>
      <c r="Q1" s="230"/>
      <c r="R1" s="213" t="s">
        <v>12</v>
      </c>
      <c r="S1" s="214"/>
      <c r="T1" s="215"/>
    </row>
    <row r="2" spans="1:24" x14ac:dyDescent="0.2">
      <c r="A2" s="2" t="s">
        <v>3</v>
      </c>
      <c r="B2" s="4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2" t="s">
        <v>13</v>
      </c>
      <c r="V2" s="2" t="s">
        <v>137</v>
      </c>
      <c r="W2" s="2" t="s">
        <v>14</v>
      </c>
      <c r="X2" s="2" t="s">
        <v>15</v>
      </c>
    </row>
    <row r="3" spans="1:24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C3*uHealthy*V3/(1+discount_rate)^A3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48">
        <f>SUM(C3,F3,I3,L3,O3,R3)-B3</f>
        <v>0</v>
      </c>
      <c r="V3" s="55">
        <v>0.33333333333333331</v>
      </c>
      <c r="W3" s="12">
        <f>SUM(D3,G3,J3,M3,P3,S3)</f>
        <v>0</v>
      </c>
      <c r="X3" s="12">
        <f>SUM(E3,H3,K3,N3,Q3,T3)</f>
        <v>333.33333333333331</v>
      </c>
    </row>
    <row r="4" spans="1:24" x14ac:dyDescent="0.2">
      <c r="A4" s="10">
        <v>1</v>
      </c>
      <c r="B4" s="15">
        <f>SUM(C3,F3,I3,L3,O3)</f>
        <v>1000</v>
      </c>
      <c r="C4" s="27">
        <f>(1-SUM(pHealthyStage1,pHealthyStage2,pHealthyStage3))*C3</f>
        <v>920</v>
      </c>
      <c r="D4" s="19">
        <f t="shared" ref="D4:D33" si="2">C4*0*V4/(1+discount_rate)^A4</f>
        <v>0</v>
      </c>
      <c r="E4" s="20">
        <f t="shared" si="1"/>
        <v>595.46925566343032</v>
      </c>
      <c r="F4" s="27">
        <f t="shared" ref="F4:F33" si="3">SUM(pHealthyStage1*C3,(1-SUM(pStage1Remission,pStage1Stage2))*F3,pStage2Stage1*I3,pRemissionStage1_trtA*O3)</f>
        <v>50</v>
      </c>
      <c r="G4" s="19">
        <f t="shared" ref="G4:G33" si="4">F4*SUM(nVisitsStage1*cVisit,cTreatmentStage1)*V4/(1+discount_rate)^A4</f>
        <v>51779.935275080898</v>
      </c>
      <c r="H4" s="20">
        <f t="shared" ref="H4:H33" si="5">F4*uStage1*V4/(1+discount_rate)^A4</f>
        <v>28.478964401294498</v>
      </c>
      <c r="I4" s="27">
        <f t="shared" ref="I4:I33" si="6">SUM(pHealthyStage2*C3,pStage1Stage2*F3,(1-SUM(pStage2Remission, pStage2Stage1, pStage2Stage3))*I3,pStage3Stage2*L3,pRemissionStage2_trtA*O3)</f>
        <v>20</v>
      </c>
      <c r="J4" s="19">
        <f t="shared" ref="J4:J33" si="7">I4*SUM(nVisitsStage2*cVisit,cTreatmentStage2)*V4/(1+discount_rate)^A4</f>
        <v>93203.883495145623</v>
      </c>
      <c r="K4" s="20">
        <f t="shared" ref="K4:K33" si="8">I4*uStage2*V4/(1+discount_rate)^A4</f>
        <v>9.1909385113268591</v>
      </c>
      <c r="L4" s="27">
        <f t="shared" ref="L4:L33" si="9">SUM(pHealthyStage3*C3,pStage2Stage3*I3,(1-SUM(pStage3Death, pStage3Stage2))*L3)</f>
        <v>10</v>
      </c>
      <c r="M4" s="19">
        <f t="shared" ref="M4:M33" si="10">L4*SUM(nVisitsStage3*cVisit,cTreatmentStage3)*V4/(1+discount_rate)^A4</f>
        <v>150161.81229773461</v>
      </c>
      <c r="N4" s="20">
        <f t="shared" ref="N4:N33" si="11">L4*uStage3*V4/(1+discount_rate)^A4</f>
        <v>2.3300970873786402</v>
      </c>
      <c r="O4" s="27">
        <f t="shared" ref="O4:O33" si="12">SUM(pStage1Remission*F3,pStage2Remission*I3,(1-SUM(pRemissionStage1_trtA, pRemissionStage2_trtA))*O3)</f>
        <v>0</v>
      </c>
      <c r="P4" s="19">
        <f t="shared" ref="P4:P33" si="13">O4*SUM(nVisitsRemission*cVisit, cTrtA)*V4/(1+discount_rate)^A4</f>
        <v>0</v>
      </c>
      <c r="Q4" s="20">
        <f t="shared" ref="Q4:Q33" si="14">O4*uRemission*V4/(1+discount_rate)^A4</f>
        <v>0</v>
      </c>
      <c r="R4" s="27">
        <f t="shared" ref="R4:R33" si="15">SUM(pStage3Death*L3,R3)</f>
        <v>0</v>
      </c>
      <c r="S4" s="19">
        <f t="shared" ref="S4:S33" si="16">R4*0*V4/(1+discount_rate)^A4</f>
        <v>0</v>
      </c>
      <c r="T4" s="23">
        <f t="shared" ref="T4:T33" si="17">R4*0*V4/(1+discount_rate)^A4</f>
        <v>0</v>
      </c>
      <c r="U4" s="49">
        <f t="shared" ref="U4:U33" si="18">SUM(C4,F4,I4,L4,O4,R4-R3)-B4</f>
        <v>0</v>
      </c>
      <c r="V4" s="54">
        <v>0.66666666666666663</v>
      </c>
      <c r="W4" s="13">
        <f>SUM(D4,G4,J4,M4,P4,S4)</f>
        <v>295145.63106796111</v>
      </c>
      <c r="X4" s="25">
        <f>SUM(E4,H4,K4,N4,Q4,T4)</f>
        <v>635.46925566343032</v>
      </c>
    </row>
    <row r="5" spans="1:24" x14ac:dyDescent="0.2">
      <c r="A5" s="10">
        <v>2</v>
      </c>
      <c r="B5" s="15">
        <f>SUM(C4,F4,I4,L4,O4)</f>
        <v>1000</v>
      </c>
      <c r="C5" s="27">
        <f>(1-SUM(pHealthyStage1,pHealthyStage2,pHealthyStage3))*C4</f>
        <v>846.40000000000009</v>
      </c>
      <c r="D5" s="19">
        <f t="shared" si="2"/>
        <v>0</v>
      </c>
      <c r="E5" s="20">
        <f t="shared" si="1"/>
        <v>1063.7509033210797</v>
      </c>
      <c r="F5" s="27">
        <f t="shared" si="3"/>
        <v>79.5</v>
      </c>
      <c r="G5" s="19">
        <f t="shared" si="4"/>
        <v>159864.26618908474</v>
      </c>
      <c r="H5" s="20">
        <f t="shared" si="5"/>
        <v>87.925346403996599</v>
      </c>
      <c r="I5" s="27">
        <f t="shared" si="6"/>
        <v>35.900000000000006</v>
      </c>
      <c r="J5" s="19">
        <f t="shared" si="7"/>
        <v>324856.25412385713</v>
      </c>
      <c r="K5" s="20">
        <f t="shared" si="8"/>
        <v>32.034436170547025</v>
      </c>
      <c r="L5" s="27">
        <f t="shared" si="9"/>
        <v>17.200000000000003</v>
      </c>
      <c r="M5" s="19">
        <f t="shared" si="10"/>
        <v>501511.29544097785</v>
      </c>
      <c r="N5" s="20">
        <f t="shared" si="11"/>
        <v>7.7820718258082762</v>
      </c>
      <c r="O5" s="27">
        <f t="shared" si="12"/>
        <v>16.5</v>
      </c>
      <c r="P5" s="19">
        <f t="shared" si="13"/>
        <v>209444.81100952023</v>
      </c>
      <c r="Q5" s="20">
        <f t="shared" si="14"/>
        <v>19.700254500895465</v>
      </c>
      <c r="R5" s="27">
        <f t="shared" si="15"/>
        <v>4.5</v>
      </c>
      <c r="S5" s="19">
        <f t="shared" si="16"/>
        <v>0</v>
      </c>
      <c r="T5" s="23">
        <f t="shared" si="17"/>
        <v>0</v>
      </c>
      <c r="U5" s="49">
        <f t="shared" si="18"/>
        <v>0</v>
      </c>
      <c r="V5" s="54">
        <v>1.3333333333333333</v>
      </c>
      <c r="W5" s="13">
        <f t="shared" ref="W5:X33" si="19">SUM(D5,G5,J5,M5,P5,S5)</f>
        <v>1195676.62676344</v>
      </c>
      <c r="X5" s="25">
        <f t="shared" si="19"/>
        <v>1211.1930122223271</v>
      </c>
    </row>
    <row r="6" spans="1:24" x14ac:dyDescent="0.2">
      <c r="A6" s="10">
        <v>3</v>
      </c>
      <c r="B6" s="15">
        <f t="shared" ref="B6:B33" si="20">SUM(C5,F5,I5,L5,O5)</f>
        <v>995.50000000000011</v>
      </c>
      <c r="C6" s="27">
        <f t="shared" ref="C6:C33" si="21">(1-SUM(pHealthyStage1,pHealthyStage2,pHealthyStage3))*C5</f>
        <v>778.6880000000001</v>
      </c>
      <c r="D6" s="19">
        <f t="shared" si="2"/>
        <v>0</v>
      </c>
      <c r="E6" s="20">
        <f t="shared" si="1"/>
        <v>475.07321895892881</v>
      </c>
      <c r="F6" s="27">
        <f t="shared" si="3"/>
        <v>96.12</v>
      </c>
      <c r="G6" s="19">
        <f t="shared" si="4"/>
        <v>93827.644050160743</v>
      </c>
      <c r="H6" s="20">
        <f t="shared" si="5"/>
        <v>51.605204227588409</v>
      </c>
      <c r="I6" s="27">
        <f t="shared" si="6"/>
        <v>47.443000000000005</v>
      </c>
      <c r="J6" s="19">
        <f t="shared" si="7"/>
        <v>208401.91557452138</v>
      </c>
      <c r="K6" s="20">
        <f t="shared" si="8"/>
        <v>20.550744452487521</v>
      </c>
      <c r="L6" s="27">
        <f t="shared" si="9"/>
        <v>22.449000000000002</v>
      </c>
      <c r="M6" s="19">
        <f t="shared" si="10"/>
        <v>317747.43371400179</v>
      </c>
      <c r="N6" s="20">
        <f t="shared" si="11"/>
        <v>4.9305636265965793</v>
      </c>
      <c r="O6" s="27">
        <f t="shared" si="12"/>
        <v>43.06</v>
      </c>
      <c r="P6" s="19">
        <f t="shared" si="13"/>
        <v>265333.73233509681</v>
      </c>
      <c r="Q6" s="20">
        <f t="shared" si="14"/>
        <v>24.957133239439798</v>
      </c>
      <c r="R6" s="27">
        <f t="shared" si="15"/>
        <v>12.240000000000002</v>
      </c>
      <c r="S6" s="19">
        <f t="shared" si="16"/>
        <v>0</v>
      </c>
      <c r="T6" s="23">
        <f t="shared" si="17"/>
        <v>0</v>
      </c>
      <c r="U6" s="49">
        <f t="shared" si="18"/>
        <v>0</v>
      </c>
      <c r="V6" s="54">
        <v>0.66666666666666663</v>
      </c>
      <c r="W6" s="13">
        <f t="shared" si="19"/>
        <v>885310.72567378066</v>
      </c>
      <c r="X6" s="25">
        <f t="shared" si="19"/>
        <v>577.11686450504112</v>
      </c>
    </row>
    <row r="7" spans="1:24" x14ac:dyDescent="0.2">
      <c r="A7" s="10">
        <v>4</v>
      </c>
      <c r="B7" s="15">
        <f t="shared" si="20"/>
        <v>987.76</v>
      </c>
      <c r="C7" s="27">
        <f t="shared" si="21"/>
        <v>716.39296000000013</v>
      </c>
      <c r="D7" s="19">
        <f t="shared" si="2"/>
        <v>0</v>
      </c>
      <c r="E7" s="20">
        <f t="shared" si="1"/>
        <v>848.67448823730979</v>
      </c>
      <c r="F7" s="27">
        <f t="shared" si="3"/>
        <v>104.64575000000002</v>
      </c>
      <c r="G7" s="19">
        <f t="shared" si="4"/>
        <v>198349.63945476955</v>
      </c>
      <c r="H7" s="20">
        <f t="shared" si="5"/>
        <v>109.09230170012326</v>
      </c>
      <c r="I7" s="27">
        <f t="shared" si="6"/>
        <v>55.204610000000002</v>
      </c>
      <c r="J7" s="19">
        <f t="shared" si="7"/>
        <v>470866.37731427449</v>
      </c>
      <c r="K7" s="20">
        <f t="shared" si="8"/>
        <v>46.432656651824288</v>
      </c>
      <c r="L7" s="27">
        <f t="shared" si="9"/>
        <v>26.127830000000003</v>
      </c>
      <c r="M7" s="19">
        <f t="shared" si="10"/>
        <v>718093.77899642277</v>
      </c>
      <c r="N7" s="20">
        <f t="shared" si="11"/>
        <v>11.142834501668629</v>
      </c>
      <c r="O7" s="27">
        <f t="shared" si="12"/>
        <v>75.286799999999999</v>
      </c>
      <c r="P7" s="19">
        <f t="shared" si="13"/>
        <v>900803.46861078776</v>
      </c>
      <c r="Q7" s="20">
        <f t="shared" si="14"/>
        <v>84.729039126757257</v>
      </c>
      <c r="R7" s="27">
        <f t="shared" si="15"/>
        <v>22.34205</v>
      </c>
      <c r="S7" s="19">
        <f t="shared" si="16"/>
        <v>0</v>
      </c>
      <c r="T7" s="23">
        <f t="shared" si="17"/>
        <v>0</v>
      </c>
      <c r="U7" s="49">
        <f t="shared" si="18"/>
        <v>0</v>
      </c>
      <c r="V7" s="54">
        <v>1.3333333333333333</v>
      </c>
      <c r="W7" s="13">
        <f t="shared" si="19"/>
        <v>2288113.2643762548</v>
      </c>
      <c r="X7" s="25">
        <f t="shared" si="19"/>
        <v>1100.0713202176833</v>
      </c>
    </row>
    <row r="8" spans="1:24" x14ac:dyDescent="0.2">
      <c r="A8" s="10">
        <v>5</v>
      </c>
      <c r="B8" s="15">
        <f t="shared" si="20"/>
        <v>977.65795000000014</v>
      </c>
      <c r="C8" s="27">
        <f t="shared" si="21"/>
        <v>659.08152320000011</v>
      </c>
      <c r="D8" s="19">
        <f t="shared" si="2"/>
        <v>0</v>
      </c>
      <c r="E8" s="20">
        <f t="shared" si="1"/>
        <v>379.01967435841021</v>
      </c>
      <c r="F8" s="27">
        <f t="shared" si="3"/>
        <v>108.10535200000002</v>
      </c>
      <c r="G8" s="19">
        <f t="shared" si="4"/>
        <v>99469.468025751645</v>
      </c>
      <c r="H8" s="20">
        <f t="shared" si="5"/>
        <v>54.708207414163418</v>
      </c>
      <c r="I8" s="27">
        <f t="shared" si="6"/>
        <v>59.974459700000004</v>
      </c>
      <c r="J8" s="19">
        <f t="shared" si="7"/>
        <v>248325.57972438741</v>
      </c>
      <c r="K8" s="20">
        <f t="shared" si="8"/>
        <v>24.487661333932643</v>
      </c>
      <c r="L8" s="27">
        <f t="shared" si="9"/>
        <v>28.508536100000001</v>
      </c>
      <c r="M8" s="19">
        <f t="shared" si="10"/>
        <v>380351.8380927993</v>
      </c>
      <c r="N8" s="20">
        <f t="shared" si="11"/>
        <v>5.902011280750334</v>
      </c>
      <c r="O8" s="27">
        <f t="shared" si="12"/>
        <v>110.23055550000001</v>
      </c>
      <c r="P8" s="19">
        <f t="shared" si="13"/>
        <v>640244.69291109731</v>
      </c>
      <c r="Q8" s="20">
        <f t="shared" si="14"/>
        <v>60.221035471835876</v>
      </c>
      <c r="R8" s="27">
        <f t="shared" si="15"/>
        <v>34.099573500000005</v>
      </c>
      <c r="S8" s="19">
        <f t="shared" si="16"/>
        <v>0</v>
      </c>
      <c r="T8" s="23">
        <f t="shared" si="17"/>
        <v>0</v>
      </c>
      <c r="U8" s="49">
        <f t="shared" si="18"/>
        <v>0</v>
      </c>
      <c r="V8" s="54">
        <v>0.66666666666666663</v>
      </c>
      <c r="W8" s="13">
        <f t="shared" si="19"/>
        <v>1368391.5787540358</v>
      </c>
      <c r="X8" s="25">
        <f t="shared" si="19"/>
        <v>524.33858985909251</v>
      </c>
    </row>
    <row r="9" spans="1:24" x14ac:dyDescent="0.2">
      <c r="A9" s="10">
        <v>6</v>
      </c>
      <c r="B9" s="15">
        <f t="shared" si="20"/>
        <v>965.90042650000021</v>
      </c>
      <c r="C9" s="27">
        <f t="shared" si="21"/>
        <v>606.35500134400013</v>
      </c>
      <c r="D9" s="19">
        <f t="shared" si="2"/>
        <v>0</v>
      </c>
      <c r="E9" s="20">
        <f t="shared" si="1"/>
        <v>677.08369011599495</v>
      </c>
      <c r="F9" s="27">
        <f t="shared" si="3"/>
        <v>108.42588905500003</v>
      </c>
      <c r="G9" s="19">
        <f t="shared" si="4"/>
        <v>193717.28021438097</v>
      </c>
      <c r="H9" s="20">
        <f t="shared" si="5"/>
        <v>106.54450411790954</v>
      </c>
      <c r="I9" s="27">
        <f t="shared" si="6"/>
        <v>62.504573844000006</v>
      </c>
      <c r="J9" s="19">
        <f t="shared" si="7"/>
        <v>502527.32702468097</v>
      </c>
      <c r="K9" s="20">
        <f t="shared" si="8"/>
        <v>49.554778081600482</v>
      </c>
      <c r="L9" s="27">
        <f t="shared" si="9"/>
        <v>29.841252237000003</v>
      </c>
      <c r="M9" s="19">
        <f t="shared" si="10"/>
        <v>773072.84213140071</v>
      </c>
      <c r="N9" s="20">
        <f t="shared" si="11"/>
        <v>11.995957895142423</v>
      </c>
      <c r="O9" s="27">
        <f t="shared" si="12"/>
        <v>145.94486877500003</v>
      </c>
      <c r="P9" s="19">
        <f t="shared" si="13"/>
        <v>1645983.9365633684</v>
      </c>
      <c r="Q9" s="20">
        <f t="shared" si="14"/>
        <v>154.82027126091089</v>
      </c>
      <c r="R9" s="27">
        <f t="shared" si="15"/>
        <v>46.928414745000005</v>
      </c>
      <c r="S9" s="19">
        <f t="shared" si="16"/>
        <v>0</v>
      </c>
      <c r="T9" s="23">
        <f t="shared" si="17"/>
        <v>0</v>
      </c>
      <c r="U9" s="49">
        <f t="shared" si="18"/>
        <v>0</v>
      </c>
      <c r="V9" s="54">
        <v>1.3333333333333333</v>
      </c>
      <c r="W9" s="13">
        <f t="shared" si="19"/>
        <v>3115301.3859338313</v>
      </c>
      <c r="X9" s="25">
        <f t="shared" si="19"/>
        <v>999.99920147155831</v>
      </c>
    </row>
    <row r="10" spans="1:24" x14ac:dyDescent="0.2">
      <c r="A10" s="10">
        <v>7</v>
      </c>
      <c r="B10" s="15">
        <f t="shared" si="20"/>
        <v>953.07158525500017</v>
      </c>
      <c r="C10" s="27">
        <f t="shared" si="21"/>
        <v>557.84660123648018</v>
      </c>
      <c r="D10" s="19">
        <f t="shared" si="2"/>
        <v>0</v>
      </c>
      <c r="E10" s="20">
        <f t="shared" si="1"/>
        <v>302.38689073141524</v>
      </c>
      <c r="F10" s="27">
        <f t="shared" si="3"/>
        <v>106.83870402065003</v>
      </c>
      <c r="G10" s="19">
        <f t="shared" si="4"/>
        <v>92660.952876923271</v>
      </c>
      <c r="H10" s="20">
        <f t="shared" si="5"/>
        <v>50.963524082307806</v>
      </c>
      <c r="I10" s="27">
        <f t="shared" si="6"/>
        <v>63.423944538380013</v>
      </c>
      <c r="J10" s="19">
        <f t="shared" si="7"/>
        <v>247533.46041632854</v>
      </c>
      <c r="K10" s="20">
        <f t="shared" si="8"/>
        <v>24.409549568832396</v>
      </c>
      <c r="L10" s="27">
        <f t="shared" si="9"/>
        <v>30.359862208540001</v>
      </c>
      <c r="M10" s="19">
        <f t="shared" si="10"/>
        <v>381800.0219585147</v>
      </c>
      <c r="N10" s="20">
        <f t="shared" si="11"/>
        <v>5.9244830993562623</v>
      </c>
      <c r="O10" s="27">
        <f t="shared" si="12"/>
        <v>181.17390974430003</v>
      </c>
      <c r="P10" s="19">
        <f t="shared" si="13"/>
        <v>991893.85180584702</v>
      </c>
      <c r="Q10" s="20">
        <f t="shared" si="14"/>
        <v>93.296946456985609</v>
      </c>
      <c r="R10" s="27">
        <f t="shared" si="15"/>
        <v>60.356978251650006</v>
      </c>
      <c r="S10" s="19">
        <f t="shared" si="16"/>
        <v>0</v>
      </c>
      <c r="T10" s="23">
        <f t="shared" si="17"/>
        <v>0</v>
      </c>
      <c r="U10" s="49">
        <f t="shared" si="18"/>
        <v>0</v>
      </c>
      <c r="V10" s="54">
        <v>0.66666666666666663</v>
      </c>
      <c r="W10" s="13">
        <f t="shared" si="19"/>
        <v>1713888.2870576135</v>
      </c>
      <c r="X10" s="25">
        <f t="shared" si="19"/>
        <v>476.98139393889733</v>
      </c>
    </row>
    <row r="11" spans="1:24" x14ac:dyDescent="0.2">
      <c r="A11" s="10">
        <v>8</v>
      </c>
      <c r="B11" s="15">
        <f t="shared" si="20"/>
        <v>939.64302174835029</v>
      </c>
      <c r="C11" s="27">
        <f t="shared" si="21"/>
        <v>513.21887313756179</v>
      </c>
      <c r="D11" s="19">
        <f t="shared" si="2"/>
        <v>0</v>
      </c>
      <c r="E11" s="20">
        <f t="shared" si="1"/>
        <v>540.18629023864469</v>
      </c>
      <c r="F11" s="27">
        <f t="shared" si="3"/>
        <v>104.13216309705155</v>
      </c>
      <c r="G11" s="19">
        <f t="shared" si="4"/>
        <v>175366.16776084763</v>
      </c>
      <c r="H11" s="20">
        <f t="shared" si="5"/>
        <v>96.451392268466208</v>
      </c>
      <c r="I11" s="27">
        <f t="shared" si="6"/>
        <v>63.224901357692616</v>
      </c>
      <c r="J11" s="19">
        <f t="shared" si="7"/>
        <v>479139.08131536236</v>
      </c>
      <c r="K11" s="20">
        <f t="shared" si="8"/>
        <v>47.248437185264898</v>
      </c>
      <c r="L11" s="27">
        <f t="shared" si="9"/>
        <v>30.271988797391803</v>
      </c>
      <c r="M11" s="19">
        <f t="shared" si="10"/>
        <v>739213.47992913495</v>
      </c>
      <c r="N11" s="20">
        <f t="shared" si="11"/>
        <v>11.470553998900369</v>
      </c>
      <c r="O11" s="27">
        <f t="shared" si="12"/>
        <v>215.13315736480953</v>
      </c>
      <c r="P11" s="19">
        <f t="shared" si="13"/>
        <v>2287018.4272160353</v>
      </c>
      <c r="Q11" s="20">
        <f t="shared" si="14"/>
        <v>215.11559463913204</v>
      </c>
      <c r="R11" s="27">
        <f t="shared" si="15"/>
        <v>74.018916245493003</v>
      </c>
      <c r="S11" s="19">
        <f t="shared" si="16"/>
        <v>0</v>
      </c>
      <c r="T11" s="23">
        <f t="shared" si="17"/>
        <v>0</v>
      </c>
      <c r="U11" s="49">
        <f t="shared" si="18"/>
        <v>0</v>
      </c>
      <c r="V11" s="54">
        <v>1.3333333333333333</v>
      </c>
      <c r="W11" s="13">
        <f t="shared" si="19"/>
        <v>3680737.1562213805</v>
      </c>
      <c r="X11" s="25">
        <f t="shared" si="19"/>
        <v>910.47226833040827</v>
      </c>
    </row>
    <row r="12" spans="1:24" x14ac:dyDescent="0.2">
      <c r="A12" s="10">
        <v>9</v>
      </c>
      <c r="B12" s="15">
        <f t="shared" si="20"/>
        <v>925.98108375450727</v>
      </c>
      <c r="C12" s="27">
        <f t="shared" si="21"/>
        <v>472.16136328655688</v>
      </c>
      <c r="D12" s="19">
        <f t="shared" si="2"/>
        <v>0</v>
      </c>
      <c r="E12" s="20">
        <f t="shared" si="1"/>
        <v>241.2482461259967</v>
      </c>
      <c r="F12" s="27">
        <f t="shared" si="3"/>
        <v>100.81075788514242</v>
      </c>
      <c r="G12" s="19">
        <f t="shared" si="4"/>
        <v>82413.921752976414</v>
      </c>
      <c r="H12" s="20">
        <f t="shared" si="5"/>
        <v>45.32765696413702</v>
      </c>
      <c r="I12" s="27">
        <f t="shared" si="6"/>
        <v>62.277465600589636</v>
      </c>
      <c r="J12" s="19">
        <f t="shared" si="7"/>
        <v>229106.3600843834</v>
      </c>
      <c r="K12" s="20">
        <f t="shared" si="8"/>
        <v>22.592432730543361</v>
      </c>
      <c r="L12" s="27">
        <f t="shared" si="9"/>
        <v>29.751918333725413</v>
      </c>
      <c r="M12" s="19">
        <f t="shared" si="10"/>
        <v>352676.62553512538</v>
      </c>
      <c r="N12" s="20">
        <f t="shared" si="11"/>
        <v>5.4725683272691867</v>
      </c>
      <c r="O12" s="27">
        <f t="shared" si="12"/>
        <v>247.35718368966667</v>
      </c>
      <c r="P12" s="19">
        <f t="shared" si="13"/>
        <v>1276496.4752640545</v>
      </c>
      <c r="Q12" s="20">
        <f t="shared" si="14"/>
        <v>120.06650014859918</v>
      </c>
      <c r="R12" s="27">
        <f t="shared" si="15"/>
        <v>87.641311204319308</v>
      </c>
      <c r="S12" s="19">
        <f t="shared" si="16"/>
        <v>0</v>
      </c>
      <c r="T12" s="23">
        <f t="shared" si="17"/>
        <v>0</v>
      </c>
      <c r="U12" s="49">
        <f t="shared" si="18"/>
        <v>0</v>
      </c>
      <c r="V12" s="54">
        <v>0.66666666666666663</v>
      </c>
      <c r="W12" s="13">
        <f t="shared" si="19"/>
        <v>1940693.3826365396</v>
      </c>
      <c r="X12" s="25">
        <f t="shared" si="19"/>
        <v>434.70740429654541</v>
      </c>
    </row>
    <row r="13" spans="1:24" x14ac:dyDescent="0.2">
      <c r="A13" s="10">
        <v>10</v>
      </c>
      <c r="B13" s="15">
        <f t="shared" si="20"/>
        <v>912.35868879568102</v>
      </c>
      <c r="C13" s="27">
        <f t="shared" si="21"/>
        <v>434.38845422363232</v>
      </c>
      <c r="D13" s="19">
        <f t="shared" si="2"/>
        <v>0</v>
      </c>
      <c r="E13" s="20">
        <f t="shared" si="1"/>
        <v>430.96774065226595</v>
      </c>
      <c r="F13" s="27">
        <f t="shared" si="3"/>
        <v>97.196077743493234</v>
      </c>
      <c r="G13" s="19">
        <f t="shared" si="4"/>
        <v>154289.08800162634</v>
      </c>
      <c r="H13" s="20">
        <f t="shared" si="5"/>
        <v>84.858998400894478</v>
      </c>
      <c r="I13" s="27">
        <f t="shared" si="6"/>
        <v>60.8519501681821</v>
      </c>
      <c r="J13" s="19">
        <f t="shared" si="7"/>
        <v>434683.83196553326</v>
      </c>
      <c r="K13" s="20">
        <f t="shared" si="8"/>
        <v>42.864655652156756</v>
      </c>
      <c r="L13" s="27">
        <f t="shared" si="9"/>
        <v>28.939192639816721</v>
      </c>
      <c r="M13" s="19">
        <f t="shared" si="10"/>
        <v>666102.22636164248</v>
      </c>
      <c r="N13" s="20">
        <f t="shared" si="11"/>
        <v>10.336069029749623</v>
      </c>
      <c r="O13" s="27">
        <f t="shared" si="12"/>
        <v>277.59465077038021</v>
      </c>
      <c r="P13" s="19">
        <f t="shared" si="13"/>
        <v>2781627.404674435</v>
      </c>
      <c r="Q13" s="20">
        <f t="shared" si="14"/>
        <v>261.63822123175379</v>
      </c>
      <c r="R13" s="27">
        <f t="shared" si="15"/>
        <v>101.02967445449575</v>
      </c>
      <c r="S13" s="19">
        <f t="shared" si="16"/>
        <v>0</v>
      </c>
      <c r="T13" s="23">
        <f t="shared" si="17"/>
        <v>0</v>
      </c>
      <c r="U13" s="49">
        <f t="shared" si="18"/>
        <v>0</v>
      </c>
      <c r="V13" s="54">
        <v>1.3333333333333333</v>
      </c>
      <c r="W13" s="13">
        <f t="shared" si="19"/>
        <v>4036702.5510032373</v>
      </c>
      <c r="X13" s="25">
        <f t="shared" si="19"/>
        <v>830.66568496682066</v>
      </c>
    </row>
    <row r="14" spans="1:24" x14ac:dyDescent="0.2">
      <c r="A14" s="10">
        <v>11</v>
      </c>
      <c r="B14" s="15">
        <f t="shared" si="20"/>
        <v>898.97032554550458</v>
      </c>
      <c r="C14" s="27">
        <f t="shared" si="21"/>
        <v>399.63737788574173</v>
      </c>
      <c r="D14" s="19">
        <f t="shared" si="2"/>
        <v>0</v>
      </c>
      <c r="E14" s="20">
        <f t="shared" si="1"/>
        <v>192.47102980586635</v>
      </c>
      <c r="F14" s="27">
        <f t="shared" si="3"/>
        <v>93.491363768268926</v>
      </c>
      <c r="G14" s="19">
        <f t="shared" si="4"/>
        <v>72042.827055394257</v>
      </c>
      <c r="H14" s="20">
        <f t="shared" si="5"/>
        <v>39.623554880466834</v>
      </c>
      <c r="I14" s="27">
        <f t="shared" si="6"/>
        <v>59.141453099425867</v>
      </c>
      <c r="J14" s="19">
        <f t="shared" si="7"/>
        <v>205080.2114303667</v>
      </c>
      <c r="K14" s="20">
        <f t="shared" si="8"/>
        <v>20.223187516050046</v>
      </c>
      <c r="L14" s="27">
        <f t="shared" si="9"/>
        <v>27.941273387372</v>
      </c>
      <c r="M14" s="19">
        <f t="shared" si="10"/>
        <v>312200.39536997804</v>
      </c>
      <c r="N14" s="20">
        <f t="shared" si="11"/>
        <v>4.8444888936720725</v>
      </c>
      <c r="O14" s="27">
        <f t="shared" si="12"/>
        <v>305.73622071677852</v>
      </c>
      <c r="P14" s="19">
        <f t="shared" si="13"/>
        <v>1487193.6958761537</v>
      </c>
      <c r="Q14" s="20">
        <f t="shared" si="14"/>
        <v>139.88455555270752</v>
      </c>
      <c r="R14" s="27">
        <f t="shared" si="15"/>
        <v>114.05231114241327</v>
      </c>
      <c r="S14" s="19">
        <f t="shared" si="16"/>
        <v>0</v>
      </c>
      <c r="T14" s="23">
        <f t="shared" si="17"/>
        <v>0</v>
      </c>
      <c r="U14" s="49">
        <f t="shared" si="18"/>
        <v>0</v>
      </c>
      <c r="V14" s="54">
        <v>0.66666666666666663</v>
      </c>
      <c r="W14" s="13">
        <f t="shared" si="19"/>
        <v>2076517.1297318926</v>
      </c>
      <c r="X14" s="25">
        <f t="shared" si="19"/>
        <v>397.04681664876284</v>
      </c>
    </row>
    <row r="15" spans="1:24" x14ac:dyDescent="0.2">
      <c r="A15" s="10">
        <v>12</v>
      </c>
      <c r="B15" s="15">
        <f t="shared" si="20"/>
        <v>885.94768885758708</v>
      </c>
      <c r="C15" s="27">
        <f t="shared" si="21"/>
        <v>367.66638765488239</v>
      </c>
      <c r="D15" s="19">
        <f t="shared" si="2"/>
        <v>0</v>
      </c>
      <c r="E15" s="20">
        <f t="shared" si="1"/>
        <v>343.83174256581952</v>
      </c>
      <c r="F15" s="27">
        <f t="shared" si="3"/>
        <v>89.823052412968764</v>
      </c>
      <c r="G15" s="19">
        <f t="shared" si="4"/>
        <v>134400.17437861371</v>
      </c>
      <c r="H15" s="20">
        <f t="shared" si="5"/>
        <v>73.920095908237556</v>
      </c>
      <c r="I15" s="27">
        <f t="shared" si="6"/>
        <v>57.281181670733631</v>
      </c>
      <c r="J15" s="19">
        <f t="shared" si="7"/>
        <v>385688.3360402984</v>
      </c>
      <c r="K15" s="20">
        <f t="shared" si="8"/>
        <v>38.033155359529424</v>
      </c>
      <c r="L15" s="27">
        <f t="shared" si="9"/>
        <v>26.838228437457296</v>
      </c>
      <c r="M15" s="19">
        <f t="shared" si="10"/>
        <v>582282.67726464837</v>
      </c>
      <c r="N15" s="20">
        <f t="shared" si="11"/>
        <v>9.0354208541066132</v>
      </c>
      <c r="O15" s="27">
        <f t="shared" si="12"/>
        <v>331.76526565722759</v>
      </c>
      <c r="P15" s="19">
        <f t="shared" si="13"/>
        <v>3133605.5613552635</v>
      </c>
      <c r="Q15" s="20">
        <f t="shared" si="14"/>
        <v>294.74507755321781</v>
      </c>
      <c r="R15" s="27">
        <f t="shared" si="15"/>
        <v>126.62588416673067</v>
      </c>
      <c r="S15" s="19">
        <f t="shared" si="16"/>
        <v>0</v>
      </c>
      <c r="T15" s="23">
        <f t="shared" si="17"/>
        <v>0</v>
      </c>
      <c r="U15" s="49">
        <f t="shared" si="18"/>
        <v>0</v>
      </c>
      <c r="V15" s="54">
        <v>1.3333333333333333</v>
      </c>
      <c r="W15" s="13">
        <f t="shared" si="19"/>
        <v>4235976.7490388239</v>
      </c>
      <c r="X15" s="25">
        <f t="shared" si="19"/>
        <v>759.565492240911</v>
      </c>
    </row>
    <row r="16" spans="1:24" x14ac:dyDescent="0.2">
      <c r="A16" s="10">
        <v>13</v>
      </c>
      <c r="B16" s="15">
        <f t="shared" si="20"/>
        <v>873.37411583326957</v>
      </c>
      <c r="C16" s="27">
        <f t="shared" si="21"/>
        <v>338.25307664249181</v>
      </c>
      <c r="D16" s="19">
        <f t="shared" si="2"/>
        <v>0</v>
      </c>
      <c r="E16" s="20">
        <f t="shared" si="1"/>
        <v>153.5559238643466</v>
      </c>
      <c r="F16" s="27">
        <f t="shared" si="3"/>
        <v>86.267667847855051</v>
      </c>
      <c r="G16" s="19">
        <f t="shared" si="4"/>
        <v>62660.356287022165</v>
      </c>
      <c r="H16" s="20">
        <f t="shared" si="5"/>
        <v>34.46319595786219</v>
      </c>
      <c r="I16" s="27">
        <f t="shared" si="6"/>
        <v>55.363906075279843</v>
      </c>
      <c r="J16" s="19">
        <f t="shared" si="7"/>
        <v>180960.60494024758</v>
      </c>
      <c r="K16" s="20">
        <f t="shared" si="8"/>
        <v>17.844726320496637</v>
      </c>
      <c r="L16" s="27">
        <f t="shared" si="9"/>
        <v>25.687955345887517</v>
      </c>
      <c r="M16" s="19">
        <f t="shared" si="10"/>
        <v>270546.76310375665</v>
      </c>
      <c r="N16" s="20">
        <f t="shared" si="11"/>
        <v>4.1981394274720847</v>
      </c>
      <c r="O16" s="27">
        <f t="shared" si="12"/>
        <v>355.72430712489961</v>
      </c>
      <c r="P16" s="19">
        <f t="shared" si="13"/>
        <v>1631021.6869392905</v>
      </c>
      <c r="Q16" s="20">
        <f t="shared" si="14"/>
        <v>153.41293094973526</v>
      </c>
      <c r="R16" s="27">
        <f t="shared" si="15"/>
        <v>138.70308696358646</v>
      </c>
      <c r="S16" s="19">
        <f t="shared" si="16"/>
        <v>0</v>
      </c>
      <c r="T16" s="23">
        <f t="shared" si="17"/>
        <v>0</v>
      </c>
      <c r="U16" s="49">
        <f t="shared" si="18"/>
        <v>0</v>
      </c>
      <c r="V16" s="54">
        <v>0.66666666666666663</v>
      </c>
      <c r="W16" s="13">
        <f t="shared" si="19"/>
        <v>2145189.4112703167</v>
      </c>
      <c r="X16" s="25">
        <f t="shared" si="19"/>
        <v>363.47491651991277</v>
      </c>
    </row>
    <row r="17" spans="1:24" x14ac:dyDescent="0.2">
      <c r="A17" s="10">
        <v>14</v>
      </c>
      <c r="B17" s="15">
        <f t="shared" si="20"/>
        <v>861.2969130364138</v>
      </c>
      <c r="C17" s="27">
        <f t="shared" si="21"/>
        <v>311.1928305110925</v>
      </c>
      <c r="D17" s="19">
        <f t="shared" si="2"/>
        <v>0</v>
      </c>
      <c r="E17" s="20">
        <f t="shared" si="1"/>
        <v>274.31349505863858</v>
      </c>
      <c r="F17" s="27">
        <f t="shared" si="3"/>
        <v>82.869319379492367</v>
      </c>
      <c r="G17" s="19">
        <f t="shared" si="4"/>
        <v>116877.61620875173</v>
      </c>
      <c r="H17" s="20">
        <f t="shared" si="5"/>
        <v>64.282688914813448</v>
      </c>
      <c r="I17" s="27">
        <f t="shared" si="6"/>
        <v>53.451812801346627</v>
      </c>
      <c r="J17" s="19">
        <f t="shared" si="7"/>
        <v>339244.2738840371</v>
      </c>
      <c r="K17" s="20">
        <f t="shared" si="8"/>
        <v>33.453254785786989</v>
      </c>
      <c r="L17" s="27">
        <f t="shared" si="9"/>
        <v>24.531094350660652</v>
      </c>
      <c r="M17" s="19">
        <f t="shared" si="10"/>
        <v>501675.04519649135</v>
      </c>
      <c r="N17" s="20">
        <f t="shared" si="11"/>
        <v>7.7846127702903809</v>
      </c>
      <c r="O17" s="27">
        <f t="shared" si="12"/>
        <v>377.69227608817238</v>
      </c>
      <c r="P17" s="19">
        <f t="shared" si="13"/>
        <v>3362614.3964063087</v>
      </c>
      <c r="Q17" s="20">
        <f t="shared" si="14"/>
        <v>316.28551253326674</v>
      </c>
      <c r="R17" s="27">
        <f t="shared" si="15"/>
        <v>150.26266686923583</v>
      </c>
      <c r="S17" s="19">
        <f t="shared" si="16"/>
        <v>0</v>
      </c>
      <c r="T17" s="23">
        <f t="shared" si="17"/>
        <v>0</v>
      </c>
      <c r="U17" s="49">
        <f t="shared" si="18"/>
        <v>0</v>
      </c>
      <c r="V17" s="54">
        <v>1.3333333333333333</v>
      </c>
      <c r="W17" s="13">
        <f t="shared" si="19"/>
        <v>4320411.3316955892</v>
      </c>
      <c r="X17" s="25">
        <f t="shared" si="19"/>
        <v>696.11956406279614</v>
      </c>
    </row>
    <row r="18" spans="1:24" x14ac:dyDescent="0.2">
      <c r="A18" s="10">
        <v>15</v>
      </c>
      <c r="B18" s="15">
        <f t="shared" si="20"/>
        <v>849.73733313076445</v>
      </c>
      <c r="C18" s="27">
        <f t="shared" si="21"/>
        <v>286.29740407020512</v>
      </c>
      <c r="D18" s="19">
        <f t="shared" si="2"/>
        <v>0</v>
      </c>
      <c r="E18" s="20">
        <f t="shared" si="1"/>
        <v>122.5089395407512</v>
      </c>
      <c r="F18" s="27">
        <f t="shared" si="3"/>
        <v>79.651135284055442</v>
      </c>
      <c r="G18" s="19">
        <f t="shared" si="4"/>
        <v>54533.368326168784</v>
      </c>
      <c r="H18" s="20">
        <f t="shared" si="5"/>
        <v>29.993352579392834</v>
      </c>
      <c r="I18" s="27">
        <f t="shared" si="6"/>
        <v>51.585353707393828</v>
      </c>
      <c r="J18" s="19">
        <f t="shared" si="7"/>
        <v>158931.24282132622</v>
      </c>
      <c r="K18" s="20">
        <f t="shared" si="8"/>
        <v>15.672386444880775</v>
      </c>
      <c r="L18" s="27">
        <f t="shared" si="9"/>
        <v>23.395247400643246</v>
      </c>
      <c r="M18" s="19">
        <f t="shared" si="10"/>
        <v>232255.49473906201</v>
      </c>
      <c r="N18" s="20">
        <f t="shared" si="11"/>
        <v>3.6039645735371688</v>
      </c>
      <c r="O18" s="27">
        <f t="shared" si="12"/>
        <v>397.76920021066962</v>
      </c>
      <c r="P18" s="19">
        <f t="shared" si="13"/>
        <v>1719106.9506418121</v>
      </c>
      <c r="Q18" s="20">
        <f t="shared" si="14"/>
        <v>161.69817852571501</v>
      </c>
      <c r="R18" s="27">
        <f t="shared" si="15"/>
        <v>161.30165932703312</v>
      </c>
      <c r="S18" s="19">
        <f t="shared" si="16"/>
        <v>0</v>
      </c>
      <c r="T18" s="23">
        <f t="shared" si="17"/>
        <v>0</v>
      </c>
      <c r="U18" s="49">
        <f t="shared" si="18"/>
        <v>0</v>
      </c>
      <c r="V18" s="54">
        <v>0.66666666666666663</v>
      </c>
      <c r="W18" s="13">
        <f t="shared" si="19"/>
        <v>2164827.056528369</v>
      </c>
      <c r="X18" s="25">
        <f t="shared" si="19"/>
        <v>333.47682166427694</v>
      </c>
    </row>
    <row r="19" spans="1:24" x14ac:dyDescent="0.2">
      <c r="A19" s="10">
        <v>16</v>
      </c>
      <c r="B19" s="15">
        <f t="shared" si="20"/>
        <v>838.69834067296733</v>
      </c>
      <c r="C19" s="27">
        <f t="shared" si="21"/>
        <v>263.39361174458872</v>
      </c>
      <c r="D19" s="19">
        <f t="shared" si="2"/>
        <v>0</v>
      </c>
      <c r="E19" s="20">
        <f t="shared" si="1"/>
        <v>218.850921121342</v>
      </c>
      <c r="F19" s="27">
        <f t="shared" si="3"/>
        <v>76.622759827729368</v>
      </c>
      <c r="G19" s="19">
        <f t="shared" si="4"/>
        <v>101864.04419508064</v>
      </c>
      <c r="H19" s="20">
        <f t="shared" si="5"/>
        <v>56.025224307294351</v>
      </c>
      <c r="I19" s="27">
        <f t="shared" si="6"/>
        <v>49.789728206384794</v>
      </c>
      <c r="J19" s="19">
        <f t="shared" si="7"/>
        <v>297862.20029735233</v>
      </c>
      <c r="K19" s="20">
        <f t="shared" si="8"/>
        <v>29.372522529322243</v>
      </c>
      <c r="L19" s="27">
        <f t="shared" si="9"/>
        <v>22.29840079713275</v>
      </c>
      <c r="M19" s="19">
        <f t="shared" si="10"/>
        <v>429838.03632354632</v>
      </c>
      <c r="N19" s="20">
        <f t="shared" si="11"/>
        <v>6.6699005636412352</v>
      </c>
      <c r="O19" s="27">
        <f t="shared" si="12"/>
        <v>416.06597876684214</v>
      </c>
      <c r="P19" s="19">
        <f t="shared" si="13"/>
        <v>3491617.9750236217</v>
      </c>
      <c r="Q19" s="20">
        <f t="shared" si="14"/>
        <v>328.41951250222183</v>
      </c>
      <c r="R19" s="27">
        <f t="shared" si="15"/>
        <v>171.82952065732258</v>
      </c>
      <c r="S19" s="19">
        <f t="shared" si="16"/>
        <v>0</v>
      </c>
      <c r="T19" s="23">
        <f t="shared" si="17"/>
        <v>0</v>
      </c>
      <c r="U19" s="49">
        <f t="shared" si="18"/>
        <v>0</v>
      </c>
      <c r="V19" s="54">
        <v>1.3333333333333333</v>
      </c>
      <c r="W19" s="13">
        <f t="shared" si="19"/>
        <v>4321182.2558396012</v>
      </c>
      <c r="X19" s="25">
        <f t="shared" si="19"/>
        <v>639.33808102382159</v>
      </c>
    </row>
    <row r="20" spans="1:24" x14ac:dyDescent="0.2">
      <c r="A20" s="10">
        <v>17</v>
      </c>
      <c r="B20" s="15">
        <f t="shared" si="20"/>
        <v>828.17047934267771</v>
      </c>
      <c r="C20" s="27">
        <f t="shared" si="21"/>
        <v>242.32212280502165</v>
      </c>
      <c r="D20" s="19">
        <f t="shared" si="2"/>
        <v>0</v>
      </c>
      <c r="E20" s="20">
        <f t="shared" si="1"/>
        <v>97.739246326036238</v>
      </c>
      <c r="F20" s="27">
        <f t="shared" si="3"/>
        <v>73.785280460909618</v>
      </c>
      <c r="G20" s="19">
        <f t="shared" si="4"/>
        <v>47617.395349460458</v>
      </c>
      <c r="H20" s="20">
        <f t="shared" si="5"/>
        <v>26.189567442203249</v>
      </c>
      <c r="I20" s="27">
        <f t="shared" si="6"/>
        <v>48.079564969020645</v>
      </c>
      <c r="J20" s="19">
        <f t="shared" si="7"/>
        <v>139626.85207353428</v>
      </c>
      <c r="K20" s="20">
        <f t="shared" si="8"/>
        <v>13.768759023917962</v>
      </c>
      <c r="L20" s="27">
        <f t="shared" si="9"/>
        <v>21.251595746969983</v>
      </c>
      <c r="M20" s="19">
        <f t="shared" si="10"/>
        <v>198863.67087652662</v>
      </c>
      <c r="N20" s="20">
        <f t="shared" si="11"/>
        <v>3.0858155825667923</v>
      </c>
      <c r="O20" s="27">
        <f t="shared" si="12"/>
        <v>432.69763500204613</v>
      </c>
      <c r="P20" s="19">
        <f t="shared" si="13"/>
        <v>1762713.8473794651</v>
      </c>
      <c r="Q20" s="20">
        <f t="shared" si="14"/>
        <v>165.79981732777148</v>
      </c>
      <c r="R20" s="27">
        <f t="shared" si="15"/>
        <v>181.86380101603231</v>
      </c>
      <c r="S20" s="19">
        <f t="shared" si="16"/>
        <v>0</v>
      </c>
      <c r="T20" s="23">
        <f t="shared" si="17"/>
        <v>0</v>
      </c>
      <c r="U20" s="49">
        <f t="shared" si="18"/>
        <v>0</v>
      </c>
      <c r="V20" s="54">
        <v>0.66666666666666663</v>
      </c>
      <c r="W20" s="13">
        <f t="shared" si="19"/>
        <v>2148821.7656789864</v>
      </c>
      <c r="X20" s="25">
        <f t="shared" si="19"/>
        <v>306.58320570249572</v>
      </c>
    </row>
    <row r="21" spans="1:24" x14ac:dyDescent="0.2">
      <c r="A21" s="10">
        <v>18</v>
      </c>
      <c r="B21" s="15">
        <f t="shared" si="20"/>
        <v>818.13619898396803</v>
      </c>
      <c r="C21" s="27">
        <f t="shared" si="21"/>
        <v>222.93635298061992</v>
      </c>
      <c r="D21" s="19">
        <f t="shared" si="2"/>
        <v>0</v>
      </c>
      <c r="E21" s="20">
        <f t="shared" si="1"/>
        <v>174.60214877660846</v>
      </c>
      <c r="F21" s="27">
        <f t="shared" si="3"/>
        <v>71.134469388334296</v>
      </c>
      <c r="G21" s="19">
        <f t="shared" si="4"/>
        <v>89139.207966619928</v>
      </c>
      <c r="H21" s="20">
        <f t="shared" si="5"/>
        <v>49.026564381640974</v>
      </c>
      <c r="I21" s="27">
        <f t="shared" si="6"/>
        <v>46.462265620972737</v>
      </c>
      <c r="J21" s="19">
        <f t="shared" si="7"/>
        <v>262000.16912058991</v>
      </c>
      <c r="K21" s="20">
        <f t="shared" si="8"/>
        <v>25.836127788280393</v>
      </c>
      <c r="L21" s="27">
        <f t="shared" si="9"/>
        <v>20.260953846888306</v>
      </c>
      <c r="M21" s="19">
        <f t="shared" si="10"/>
        <v>368143.01441057335</v>
      </c>
      <c r="N21" s="20">
        <f t="shared" si="11"/>
        <v>5.7125640167157936</v>
      </c>
      <c r="O21" s="27">
        <f t="shared" si="12"/>
        <v>447.77893906101627</v>
      </c>
      <c r="P21" s="19">
        <f t="shared" si="13"/>
        <v>3542042.1806755583</v>
      </c>
      <c r="Q21" s="20">
        <f t="shared" si="14"/>
        <v>333.16238333086926</v>
      </c>
      <c r="R21" s="27">
        <f t="shared" si="15"/>
        <v>191.4270191021688</v>
      </c>
      <c r="S21" s="19">
        <f t="shared" si="16"/>
        <v>0</v>
      </c>
      <c r="T21" s="23">
        <f t="shared" si="17"/>
        <v>0</v>
      </c>
      <c r="U21" s="49">
        <f t="shared" si="18"/>
        <v>0</v>
      </c>
      <c r="V21" s="54">
        <v>1.3333333333333333</v>
      </c>
      <c r="W21" s="13">
        <f t="shared" si="19"/>
        <v>4261324.5721733412</v>
      </c>
      <c r="X21" s="25">
        <f t="shared" si="19"/>
        <v>588.3397882941149</v>
      </c>
    </row>
    <row r="22" spans="1:24" x14ac:dyDescent="0.2">
      <c r="A22" s="10">
        <v>19</v>
      </c>
      <c r="B22" s="15">
        <f t="shared" si="20"/>
        <v>808.57298089783148</v>
      </c>
      <c r="C22" s="27">
        <f t="shared" si="21"/>
        <v>205.10144474217034</v>
      </c>
      <c r="D22" s="19">
        <f t="shared" si="2"/>
        <v>0</v>
      </c>
      <c r="E22" s="20">
        <f t="shared" si="1"/>
        <v>77.977658676931924</v>
      </c>
      <c r="F22" s="27">
        <f t="shared" si="3"/>
        <v>68.662914813717251</v>
      </c>
      <c r="G22" s="19">
        <f t="shared" si="4"/>
        <v>41768.000937003177</v>
      </c>
      <c r="H22" s="20">
        <f t="shared" si="5"/>
        <v>22.972400515351747</v>
      </c>
      <c r="I22" s="27">
        <f t="shared" si="6"/>
        <v>44.940370453984045</v>
      </c>
      <c r="J22" s="19">
        <f t="shared" si="7"/>
        <v>123018.55348636121</v>
      </c>
      <c r="K22" s="20">
        <f t="shared" si="8"/>
        <v>12.13099624657173</v>
      </c>
      <c r="L22" s="27">
        <f t="shared" si="9"/>
        <v>19.329180296396263</v>
      </c>
      <c r="M22" s="19">
        <f t="shared" si="10"/>
        <v>170491.56349340372</v>
      </c>
      <c r="N22" s="20">
        <f t="shared" si="11"/>
        <v>2.6455587438631607</v>
      </c>
      <c r="O22" s="27">
        <f t="shared" si="12"/>
        <v>461.42164136046387</v>
      </c>
      <c r="P22" s="19">
        <f t="shared" si="13"/>
        <v>1771824.9178790725</v>
      </c>
      <c r="Q22" s="20">
        <f t="shared" si="14"/>
        <v>166.6567992064474</v>
      </c>
      <c r="R22" s="27">
        <f t="shared" si="15"/>
        <v>200.54444833326855</v>
      </c>
      <c r="S22" s="19">
        <f t="shared" si="16"/>
        <v>0</v>
      </c>
      <c r="T22" s="23">
        <f t="shared" si="17"/>
        <v>0</v>
      </c>
      <c r="U22" s="49">
        <f t="shared" si="18"/>
        <v>0</v>
      </c>
      <c r="V22" s="54">
        <v>0.66666666666666663</v>
      </c>
      <c r="W22" s="13">
        <f t="shared" si="19"/>
        <v>2107103.0357958404</v>
      </c>
      <c r="X22" s="25">
        <f t="shared" si="19"/>
        <v>282.38341338916598</v>
      </c>
    </row>
    <row r="23" spans="1:24" x14ac:dyDescent="0.2">
      <c r="A23" s="10">
        <v>20</v>
      </c>
      <c r="B23" s="15">
        <f t="shared" si="20"/>
        <v>799.45555166673171</v>
      </c>
      <c r="C23" s="27">
        <f t="shared" si="21"/>
        <v>188.69332916279672</v>
      </c>
      <c r="D23" s="19">
        <f t="shared" si="2"/>
        <v>0</v>
      </c>
      <c r="E23" s="20">
        <f t="shared" si="1"/>
        <v>139.29989511218909</v>
      </c>
      <c r="F23" s="27">
        <f t="shared" si="3"/>
        <v>66.361418215933213</v>
      </c>
      <c r="G23" s="19">
        <f t="shared" si="4"/>
        <v>78384.444329774095</v>
      </c>
      <c r="H23" s="20">
        <f t="shared" si="5"/>
        <v>43.111444381375748</v>
      </c>
      <c r="I23" s="27">
        <f t="shared" si="6"/>
        <v>43.513218077030011</v>
      </c>
      <c r="J23" s="19">
        <f t="shared" si="7"/>
        <v>231285.25282439092</v>
      </c>
      <c r="K23" s="20">
        <f t="shared" si="8"/>
        <v>22.807295764627437</v>
      </c>
      <c r="L23" s="27">
        <f t="shared" si="9"/>
        <v>18.456660163717444</v>
      </c>
      <c r="M23" s="19">
        <f t="shared" si="10"/>
        <v>316107.89529739413</v>
      </c>
      <c r="N23" s="20">
        <f t="shared" si="11"/>
        <v>4.905122513235427</v>
      </c>
      <c r="O23" s="27">
        <f t="shared" si="12"/>
        <v>473.73279491387603</v>
      </c>
      <c r="P23" s="19">
        <f t="shared" si="13"/>
        <v>3532230.7484241072</v>
      </c>
      <c r="Q23" s="20">
        <f t="shared" si="14"/>
        <v>332.23952584187145</v>
      </c>
      <c r="R23" s="27">
        <f t="shared" si="15"/>
        <v>209.24257946664687</v>
      </c>
      <c r="S23" s="19">
        <f t="shared" si="16"/>
        <v>0</v>
      </c>
      <c r="T23" s="23">
        <f t="shared" si="17"/>
        <v>0</v>
      </c>
      <c r="U23" s="49">
        <f t="shared" si="18"/>
        <v>0</v>
      </c>
      <c r="V23" s="54">
        <v>1.3333333333333333</v>
      </c>
      <c r="W23" s="13">
        <f t="shared" si="19"/>
        <v>4158008.3408756666</v>
      </c>
      <c r="X23" s="25">
        <f t="shared" si="19"/>
        <v>542.36328361329913</v>
      </c>
    </row>
    <row r="24" spans="1:24" x14ac:dyDescent="0.2">
      <c r="A24" s="10">
        <v>21</v>
      </c>
      <c r="B24" s="15">
        <f t="shared" si="20"/>
        <v>790.75742053335341</v>
      </c>
      <c r="C24" s="27">
        <f t="shared" si="21"/>
        <v>173.59786282977299</v>
      </c>
      <c r="D24" s="19">
        <f t="shared" si="2"/>
        <v>0</v>
      </c>
      <c r="E24" s="20">
        <f t="shared" si="1"/>
        <v>62.21160364233689</v>
      </c>
      <c r="F24" s="27">
        <f t="shared" si="3"/>
        <v>64.219905100625454</v>
      </c>
      <c r="G24" s="19">
        <f t="shared" si="4"/>
        <v>36822.787718175954</v>
      </c>
      <c r="H24" s="20">
        <f t="shared" si="5"/>
        <v>20.252533244996776</v>
      </c>
      <c r="I24" s="27">
        <f t="shared" si="6"/>
        <v>42.178100208391896</v>
      </c>
      <c r="J24" s="19">
        <f t="shared" si="7"/>
        <v>108829.47468595665</v>
      </c>
      <c r="K24" s="20">
        <f t="shared" si="8"/>
        <v>10.731795420420724</v>
      </c>
      <c r="L24" s="27">
        <f t="shared" si="9"/>
        <v>17.64224608504119</v>
      </c>
      <c r="M24" s="19">
        <f t="shared" si="10"/>
        <v>146679.31821028184</v>
      </c>
      <c r="N24" s="20">
        <f t="shared" si="11"/>
        <v>2.2760583860216146</v>
      </c>
      <c r="O24" s="27">
        <f t="shared" si="12"/>
        <v>484.81380923584902</v>
      </c>
      <c r="P24" s="19">
        <f t="shared" si="13"/>
        <v>1754782.8348433317</v>
      </c>
      <c r="Q24" s="20">
        <f t="shared" si="14"/>
        <v>165.05383100011534</v>
      </c>
      <c r="R24" s="27">
        <f t="shared" si="15"/>
        <v>217.54807654031973</v>
      </c>
      <c r="S24" s="19">
        <f t="shared" si="16"/>
        <v>0</v>
      </c>
      <c r="T24" s="23">
        <f t="shared" si="17"/>
        <v>0</v>
      </c>
      <c r="U24" s="49">
        <f t="shared" si="18"/>
        <v>0</v>
      </c>
      <c r="V24" s="54">
        <v>0.66666666666666663</v>
      </c>
      <c r="W24" s="13">
        <f t="shared" si="19"/>
        <v>2047114.415457746</v>
      </c>
      <c r="X24" s="25">
        <f t="shared" si="19"/>
        <v>260.52582169389132</v>
      </c>
    </row>
    <row r="25" spans="1:24" x14ac:dyDescent="0.2">
      <c r="A25" s="10">
        <v>22</v>
      </c>
      <c r="B25" s="15">
        <f t="shared" si="20"/>
        <v>782.45192345968053</v>
      </c>
      <c r="C25" s="27">
        <f t="shared" si="21"/>
        <v>159.71003380339116</v>
      </c>
      <c r="D25" s="19">
        <f t="shared" si="2"/>
        <v>0</v>
      </c>
      <c r="E25" s="20">
        <f t="shared" si="1"/>
        <v>111.13529194359209</v>
      </c>
      <c r="F25" s="27">
        <f t="shared" si="3"/>
        <v>62.228012652031772</v>
      </c>
      <c r="G25" s="19">
        <f t="shared" si="4"/>
        <v>69282.844048900341</v>
      </c>
      <c r="H25" s="20">
        <f t="shared" si="5"/>
        <v>38.105564226895183</v>
      </c>
      <c r="I25" s="27">
        <f t="shared" si="6"/>
        <v>40.931058288303696</v>
      </c>
      <c r="J25" s="19">
        <f t="shared" si="7"/>
        <v>205071.47878899545</v>
      </c>
      <c r="K25" s="20">
        <f t="shared" si="8"/>
        <v>20.222326380581496</v>
      </c>
      <c r="L25" s="27">
        <f t="shared" si="9"/>
        <v>16.883816702077109</v>
      </c>
      <c r="M25" s="19">
        <f t="shared" si="10"/>
        <v>272570.22119425656</v>
      </c>
      <c r="N25" s="20">
        <f t="shared" si="11"/>
        <v>4.2295379150832906</v>
      </c>
      <c r="O25" s="27">
        <f t="shared" si="12"/>
        <v>494.75999127560829</v>
      </c>
      <c r="P25" s="19">
        <f t="shared" si="13"/>
        <v>3477248.5930041084</v>
      </c>
      <c r="Q25" s="20">
        <f t="shared" si="14"/>
        <v>327.067936965733</v>
      </c>
      <c r="R25" s="27">
        <f t="shared" si="15"/>
        <v>225.48708727858826</v>
      </c>
      <c r="S25" s="19">
        <f t="shared" si="16"/>
        <v>0</v>
      </c>
      <c r="T25" s="23">
        <f t="shared" si="17"/>
        <v>0</v>
      </c>
      <c r="U25" s="49">
        <f t="shared" si="18"/>
        <v>0</v>
      </c>
      <c r="V25" s="54">
        <v>1.3333333333333333</v>
      </c>
      <c r="W25" s="13">
        <f t="shared" si="19"/>
        <v>4024173.1370362607</v>
      </c>
      <c r="X25" s="25">
        <f t="shared" si="19"/>
        <v>500.76065743188508</v>
      </c>
    </row>
    <row r="26" spans="1:24" x14ac:dyDescent="0.2">
      <c r="A26" s="10">
        <v>23</v>
      </c>
      <c r="B26" s="15">
        <f t="shared" si="20"/>
        <v>774.51291272141202</v>
      </c>
      <c r="C26" s="27">
        <f t="shared" si="21"/>
        <v>146.93323109911987</v>
      </c>
      <c r="D26" s="19">
        <f t="shared" si="2"/>
        <v>0</v>
      </c>
      <c r="E26" s="20">
        <f t="shared" si="1"/>
        <v>49.633237178691623</v>
      </c>
      <c r="F26" s="27">
        <f t="shared" si="3"/>
        <v>60.375462653917559</v>
      </c>
      <c r="G26" s="19">
        <f t="shared" si="4"/>
        <v>32631.198649989565</v>
      </c>
      <c r="H26" s="20">
        <f t="shared" si="5"/>
        <v>17.947159257494263</v>
      </c>
      <c r="I26" s="27">
        <f t="shared" si="6"/>
        <v>39.76742766211315</v>
      </c>
      <c r="J26" s="19">
        <f t="shared" si="7"/>
        <v>96719.171772804068</v>
      </c>
      <c r="K26" s="20">
        <f t="shared" si="8"/>
        <v>9.5375849942626232</v>
      </c>
      <c r="L26" s="27">
        <f t="shared" si="9"/>
        <v>16.178667432318019</v>
      </c>
      <c r="M26" s="19">
        <f t="shared" si="10"/>
        <v>126789.50472947706</v>
      </c>
      <c r="N26" s="20">
        <f t="shared" si="11"/>
        <v>1.967423349250506</v>
      </c>
      <c r="O26" s="27">
        <f t="shared" si="12"/>
        <v>503.66040635800874</v>
      </c>
      <c r="P26" s="19">
        <f t="shared" si="13"/>
        <v>1718350.5175431564</v>
      </c>
      <c r="Q26" s="20">
        <f t="shared" si="14"/>
        <v>161.62702887782163</v>
      </c>
      <c r="R26" s="27">
        <f t="shared" si="15"/>
        <v>233.08480479452297</v>
      </c>
      <c r="S26" s="19">
        <f t="shared" si="16"/>
        <v>0</v>
      </c>
      <c r="T26" s="23">
        <f t="shared" si="17"/>
        <v>0</v>
      </c>
      <c r="U26" s="49">
        <f t="shared" si="18"/>
        <v>0</v>
      </c>
      <c r="V26" s="54">
        <v>0.66666666666666663</v>
      </c>
      <c r="W26" s="13">
        <f t="shared" si="19"/>
        <v>1974490.3926954272</v>
      </c>
      <c r="X26" s="25">
        <f t="shared" si="19"/>
        <v>240.71243365752065</v>
      </c>
    </row>
    <row r="27" spans="1:24" x14ac:dyDescent="0.2">
      <c r="A27" s="10">
        <v>24</v>
      </c>
      <c r="B27" s="15">
        <f t="shared" si="20"/>
        <v>766.9151952054774</v>
      </c>
      <c r="C27" s="27">
        <f t="shared" si="21"/>
        <v>135.17857261119028</v>
      </c>
      <c r="D27" s="19">
        <f t="shared" si="2"/>
        <v>0</v>
      </c>
      <c r="E27" s="20">
        <f t="shared" si="1"/>
        <v>88.665200396886007</v>
      </c>
      <c r="F27" s="27">
        <f t="shared" si="3"/>
        <v>58.652291790268237</v>
      </c>
      <c r="G27" s="19">
        <f t="shared" si="4"/>
        <v>61553.154229891814</v>
      </c>
      <c r="H27" s="20">
        <f t="shared" si="5"/>
        <v>33.854234826440496</v>
      </c>
      <c r="I27" s="27">
        <f t="shared" si="6"/>
        <v>38.682204919838028</v>
      </c>
      <c r="J27" s="19">
        <f t="shared" si="7"/>
        <v>182679.18332223815</v>
      </c>
      <c r="K27" s="20">
        <f t="shared" si="8"/>
        <v>18.014197244276261</v>
      </c>
      <c r="L27" s="27">
        <f t="shared" si="9"/>
        <v>15.523780176467181</v>
      </c>
      <c r="M27" s="19">
        <f t="shared" si="10"/>
        <v>236227.69530171584</v>
      </c>
      <c r="N27" s="20">
        <f t="shared" si="11"/>
        <v>3.6656021684749005</v>
      </c>
      <c r="O27" s="27">
        <f t="shared" si="12"/>
        <v>511.59794536317048</v>
      </c>
      <c r="P27" s="19">
        <f t="shared" si="13"/>
        <v>3389186.8220504248</v>
      </c>
      <c r="Q27" s="20">
        <f t="shared" si="14"/>
        <v>318.78489910375282</v>
      </c>
      <c r="R27" s="27">
        <f t="shared" si="15"/>
        <v>240.36520513906606</v>
      </c>
      <c r="S27" s="19">
        <f t="shared" si="16"/>
        <v>0</v>
      </c>
      <c r="T27" s="23">
        <f t="shared" si="17"/>
        <v>0</v>
      </c>
      <c r="U27" s="49">
        <f t="shared" si="18"/>
        <v>0</v>
      </c>
      <c r="V27" s="54">
        <v>1.3333333333333333</v>
      </c>
      <c r="W27" s="13">
        <f t="shared" si="19"/>
        <v>3869646.8549042707</v>
      </c>
      <c r="X27" s="25">
        <f t="shared" si="19"/>
        <v>462.98413373983044</v>
      </c>
    </row>
    <row r="28" spans="1:24" x14ac:dyDescent="0.2">
      <c r="A28" s="10">
        <v>25</v>
      </c>
      <c r="B28" s="15">
        <f t="shared" si="20"/>
        <v>759.63479486093422</v>
      </c>
      <c r="C28" s="27">
        <f t="shared" si="21"/>
        <v>124.36428680229506</v>
      </c>
      <c r="D28" s="19">
        <f t="shared" si="2"/>
        <v>0</v>
      </c>
      <c r="E28" s="20">
        <f t="shared" si="1"/>
        <v>39.598050662686958</v>
      </c>
      <c r="F28" s="27">
        <f t="shared" si="3"/>
        <v>57.048987447489189</v>
      </c>
      <c r="G28" s="19">
        <f t="shared" si="4"/>
        <v>29063.375067369972</v>
      </c>
      <c r="H28" s="20">
        <f t="shared" si="5"/>
        <v>15.984856287053482</v>
      </c>
      <c r="I28" s="27">
        <f t="shared" si="6"/>
        <v>37.670292045608505</v>
      </c>
      <c r="J28" s="19">
        <f t="shared" si="7"/>
        <v>86359.398128139917</v>
      </c>
      <c r="K28" s="20">
        <f t="shared" si="8"/>
        <v>8.515996204302688</v>
      </c>
      <c r="L28" s="27">
        <f t="shared" si="9"/>
        <v>14.916006552321196</v>
      </c>
      <c r="M28" s="19">
        <f t="shared" si="10"/>
        <v>110184.03531489508</v>
      </c>
      <c r="N28" s="20">
        <f t="shared" si="11"/>
        <v>1.7097522721276823</v>
      </c>
      <c r="O28" s="27">
        <f t="shared" si="12"/>
        <v>518.64952093380998</v>
      </c>
      <c r="P28" s="19">
        <f t="shared" si="13"/>
        <v>1667913.3245987212</v>
      </c>
      <c r="Q28" s="20">
        <f t="shared" si="14"/>
        <v>156.88293647215693</v>
      </c>
      <c r="R28" s="27">
        <f t="shared" si="15"/>
        <v>247.3509062184763</v>
      </c>
      <c r="S28" s="19">
        <f t="shared" si="16"/>
        <v>0</v>
      </c>
      <c r="T28" s="23">
        <f t="shared" si="17"/>
        <v>0</v>
      </c>
      <c r="U28" s="49">
        <f t="shared" si="18"/>
        <v>0</v>
      </c>
      <c r="V28" s="54">
        <v>0.66666666666666663</v>
      </c>
      <c r="W28" s="13">
        <f t="shared" si="19"/>
        <v>1893520.1331091262</v>
      </c>
      <c r="X28" s="25">
        <f t="shared" si="19"/>
        <v>222.69159189832774</v>
      </c>
    </row>
    <row r="29" spans="1:24" x14ac:dyDescent="0.2">
      <c r="A29" s="10">
        <v>26</v>
      </c>
      <c r="B29" s="15">
        <f t="shared" si="20"/>
        <v>752.6490937815239</v>
      </c>
      <c r="C29" s="27">
        <f t="shared" si="21"/>
        <v>114.41514385811145</v>
      </c>
      <c r="D29" s="19">
        <f t="shared" si="2"/>
        <v>0</v>
      </c>
      <c r="E29" s="20">
        <f t="shared" si="1"/>
        <v>70.738265261499009</v>
      </c>
      <c r="F29" s="27">
        <f t="shared" si="3"/>
        <v>55.55656120193936</v>
      </c>
      <c r="G29" s="19">
        <f t="shared" si="4"/>
        <v>54957.40694176824</v>
      </c>
      <c r="H29" s="20">
        <f t="shared" si="5"/>
        <v>30.226573817972529</v>
      </c>
      <c r="I29" s="27">
        <f t="shared" si="6"/>
        <v>36.726655245114081</v>
      </c>
      <c r="J29" s="19">
        <f t="shared" si="7"/>
        <v>163487.58137866648</v>
      </c>
      <c r="K29" s="20">
        <f t="shared" si="8"/>
        <v>16.121692052618499</v>
      </c>
      <c r="L29" s="27">
        <f t="shared" si="9"/>
        <v>14.352189951024824</v>
      </c>
      <c r="M29" s="19">
        <f t="shared" si="10"/>
        <v>205862.41004490331</v>
      </c>
      <c r="N29" s="20">
        <f t="shared" si="11"/>
        <v>3.1944167075933274</v>
      </c>
      <c r="O29" s="27">
        <f t="shared" si="12"/>
        <v>524.88634057678962</v>
      </c>
      <c r="P29" s="19">
        <f t="shared" si="13"/>
        <v>3277611.9855499733</v>
      </c>
      <c r="Q29" s="20">
        <f t="shared" si="14"/>
        <v>308.29023626460139</v>
      </c>
      <c r="R29" s="27">
        <f t="shared" si="15"/>
        <v>254.06310916702083</v>
      </c>
      <c r="S29" s="19">
        <f t="shared" si="16"/>
        <v>0</v>
      </c>
      <c r="T29" s="23">
        <f t="shared" si="17"/>
        <v>0</v>
      </c>
      <c r="U29" s="49">
        <f t="shared" si="18"/>
        <v>0</v>
      </c>
      <c r="V29" s="54">
        <v>1.3333333333333333</v>
      </c>
      <c r="W29" s="13">
        <f t="shared" si="19"/>
        <v>3701919.3839153112</v>
      </c>
      <c r="X29" s="25">
        <f t="shared" si="19"/>
        <v>428.57118410428478</v>
      </c>
    </row>
    <row r="30" spans="1:24" x14ac:dyDescent="0.2">
      <c r="A30" s="10">
        <v>27</v>
      </c>
      <c r="B30" s="15">
        <f t="shared" si="20"/>
        <v>745.93689083297932</v>
      </c>
      <c r="C30" s="27">
        <f t="shared" si="21"/>
        <v>105.26193234946254</v>
      </c>
      <c r="D30" s="19">
        <f t="shared" si="2"/>
        <v>0</v>
      </c>
      <c r="E30" s="20">
        <f t="shared" si="1"/>
        <v>31.591846621640347</v>
      </c>
      <c r="F30" s="27">
        <f t="shared" si="3"/>
        <v>54.166581547957648</v>
      </c>
      <c r="G30" s="19">
        <f t="shared" si="4"/>
        <v>26010.88234786356</v>
      </c>
      <c r="H30" s="20">
        <f t="shared" si="5"/>
        <v>14.305985291324957</v>
      </c>
      <c r="I30" s="27">
        <f t="shared" si="6"/>
        <v>35.84642504774375</v>
      </c>
      <c r="J30" s="19">
        <f t="shared" si="7"/>
        <v>77460.807575106723</v>
      </c>
      <c r="K30" s="20">
        <f t="shared" si="8"/>
        <v>7.6384963025452475</v>
      </c>
      <c r="L30" s="27">
        <f t="shared" si="9"/>
        <v>13.829244700860638</v>
      </c>
      <c r="M30" s="19">
        <f t="shared" si="10"/>
        <v>96291.980693919861</v>
      </c>
      <c r="N30" s="20">
        <f t="shared" si="11"/>
        <v>1.4941859073194461</v>
      </c>
      <c r="O30" s="27">
        <f t="shared" si="12"/>
        <v>530.37422170899356</v>
      </c>
      <c r="P30" s="19">
        <f t="shared" si="13"/>
        <v>1607709.0451619311</v>
      </c>
      <c r="Q30" s="20">
        <f t="shared" si="14"/>
        <v>151.22015771325093</v>
      </c>
      <c r="R30" s="27">
        <f t="shared" si="15"/>
        <v>260.52159464498197</v>
      </c>
      <c r="S30" s="19">
        <f t="shared" si="16"/>
        <v>0</v>
      </c>
      <c r="T30" s="23">
        <f t="shared" si="17"/>
        <v>0</v>
      </c>
      <c r="U30" s="49">
        <f t="shared" si="18"/>
        <v>0</v>
      </c>
      <c r="V30" s="54">
        <v>0.66666666666666663</v>
      </c>
      <c r="W30" s="13">
        <f t="shared" si="19"/>
        <v>1807472.7157788211</v>
      </c>
      <c r="X30" s="25">
        <f t="shared" si="19"/>
        <v>206.25067183608093</v>
      </c>
    </row>
    <row r="31" spans="1:24" x14ac:dyDescent="0.2">
      <c r="A31" s="10">
        <v>28</v>
      </c>
      <c r="B31" s="15">
        <f t="shared" si="20"/>
        <v>739.47840535501814</v>
      </c>
      <c r="C31" s="27">
        <f t="shared" si="21"/>
        <v>96.840977761505542</v>
      </c>
      <c r="D31" s="19">
        <f t="shared" si="2"/>
        <v>0</v>
      </c>
      <c r="E31" s="20">
        <f t="shared" si="1"/>
        <v>56.435920178464308</v>
      </c>
      <c r="F31" s="27">
        <f t="shared" si="3"/>
        <v>52.871180310212665</v>
      </c>
      <c r="G31" s="19">
        <f t="shared" si="4"/>
        <v>49298.696162721892</v>
      </c>
      <c r="H31" s="20">
        <f t="shared" si="5"/>
        <v>27.114282889497041</v>
      </c>
      <c r="I31" s="27">
        <f t="shared" si="6"/>
        <v>35.024956282564233</v>
      </c>
      <c r="J31" s="19">
        <f t="shared" si="7"/>
        <v>146962.50405042502</v>
      </c>
      <c r="K31" s="20">
        <f t="shared" si="8"/>
        <v>14.492135816083577</v>
      </c>
      <c r="L31" s="27">
        <f t="shared" si="9"/>
        <v>13.344205431086507</v>
      </c>
      <c r="M31" s="19">
        <f t="shared" si="10"/>
        <v>180416.87202164804</v>
      </c>
      <c r="N31" s="20">
        <f t="shared" si="11"/>
        <v>2.7995721520600561</v>
      </c>
      <c r="O31" s="27">
        <f t="shared" si="12"/>
        <v>535.17392545426196</v>
      </c>
      <c r="P31" s="19">
        <f t="shared" si="13"/>
        <v>3150016.0338161387</v>
      </c>
      <c r="Q31" s="20">
        <f t="shared" si="14"/>
        <v>296.28863684409225</v>
      </c>
      <c r="R31" s="27">
        <f t="shared" si="15"/>
        <v>266.74475476036923</v>
      </c>
      <c r="S31" s="19">
        <f t="shared" si="16"/>
        <v>0</v>
      </c>
      <c r="T31" s="23">
        <f t="shared" si="17"/>
        <v>0</v>
      </c>
      <c r="U31" s="49">
        <f t="shared" si="18"/>
        <v>0</v>
      </c>
      <c r="V31" s="54">
        <v>1.3333333333333333</v>
      </c>
      <c r="W31" s="13">
        <f t="shared" si="19"/>
        <v>3526694.1060509337</v>
      </c>
      <c r="X31" s="25">
        <f t="shared" si="19"/>
        <v>397.13054788019724</v>
      </c>
    </row>
    <row r="32" spans="1:24" x14ac:dyDescent="0.2">
      <c r="A32" s="10">
        <v>29</v>
      </c>
      <c r="B32" s="15">
        <f t="shared" si="20"/>
        <v>733.25524523963088</v>
      </c>
      <c r="C32" s="27">
        <f t="shared" si="21"/>
        <v>89.093699540585106</v>
      </c>
      <c r="D32" s="19">
        <f t="shared" si="2"/>
        <v>0</v>
      </c>
      <c r="E32" s="20">
        <f t="shared" si="1"/>
        <v>25.20439153601319</v>
      </c>
      <c r="F32" s="27">
        <f t="shared" si="3"/>
        <v>51.663042412926956</v>
      </c>
      <c r="G32" s="19">
        <f t="shared" si="4"/>
        <v>23384.559054237518</v>
      </c>
      <c r="H32" s="20">
        <f t="shared" si="5"/>
        <v>12.861507479830635</v>
      </c>
      <c r="I32" s="27">
        <f t="shared" si="6"/>
        <v>34.257860881886863</v>
      </c>
      <c r="J32" s="19">
        <f t="shared" si="7"/>
        <v>69778.553498186753</v>
      </c>
      <c r="K32" s="20">
        <f t="shared" si="8"/>
        <v>6.880940692182306</v>
      </c>
      <c r="L32" s="27">
        <f t="shared" si="9"/>
        <v>12.894255935542944</v>
      </c>
      <c r="M32" s="19">
        <f t="shared" si="10"/>
        <v>84627.886626181164</v>
      </c>
      <c r="N32" s="20">
        <f t="shared" si="11"/>
        <v>1.3131913441993628</v>
      </c>
      <c r="O32" s="27">
        <f t="shared" si="12"/>
        <v>539.34149402470007</v>
      </c>
      <c r="P32" s="19">
        <f t="shared" si="13"/>
        <v>1541041.846919006</v>
      </c>
      <c r="Q32" s="20">
        <f t="shared" si="14"/>
        <v>144.9494806507976</v>
      </c>
      <c r="R32" s="27">
        <f t="shared" si="15"/>
        <v>272.74964720435815</v>
      </c>
      <c r="S32" s="19">
        <f t="shared" si="16"/>
        <v>0</v>
      </c>
      <c r="T32" s="23">
        <f t="shared" si="17"/>
        <v>0</v>
      </c>
      <c r="U32" s="49">
        <f t="shared" si="18"/>
        <v>0</v>
      </c>
      <c r="V32" s="54">
        <v>0.66666666666666663</v>
      </c>
      <c r="W32" s="13">
        <f t="shared" si="19"/>
        <v>1718832.8460976114</v>
      </c>
      <c r="X32" s="25">
        <f t="shared" si="19"/>
        <v>191.20951170302308</v>
      </c>
    </row>
    <row r="33" spans="1:24" ht="16" thickBot="1" x14ac:dyDescent="0.25">
      <c r="A33" s="11">
        <v>30</v>
      </c>
      <c r="B33" s="16">
        <f t="shared" si="20"/>
        <v>727.2503527956419</v>
      </c>
      <c r="C33" s="28">
        <f t="shared" si="21"/>
        <v>81.966203577338305</v>
      </c>
      <c r="D33" s="21">
        <f t="shared" si="2"/>
        <v>0</v>
      </c>
      <c r="E33" s="22">
        <f t="shared" si="1"/>
        <v>11.256330200549581</v>
      </c>
      <c r="F33" s="28">
        <f t="shared" si="3"/>
        <v>50.535385470020124</v>
      </c>
      <c r="G33" s="21">
        <f t="shared" si="4"/>
        <v>11103.951840363114</v>
      </c>
      <c r="H33" s="22">
        <f t="shared" si="5"/>
        <v>6.1071735121997124</v>
      </c>
      <c r="I33" s="28">
        <f t="shared" si="6"/>
        <v>33.541022498260666</v>
      </c>
      <c r="J33" s="21">
        <f t="shared" si="7"/>
        <v>33164.297207780495</v>
      </c>
      <c r="K33" s="22">
        <f t="shared" si="8"/>
        <v>3.2703681968783544</v>
      </c>
      <c r="L33" s="28">
        <f t="shared" si="9"/>
        <v>12.476744095460353</v>
      </c>
      <c r="M33" s="21">
        <f t="shared" si="10"/>
        <v>39751.29272179737</v>
      </c>
      <c r="N33" s="22">
        <f t="shared" si="11"/>
        <v>0.61683040430375224</v>
      </c>
      <c r="O33" s="28">
        <f t="shared" si="12"/>
        <v>542.92858198356817</v>
      </c>
      <c r="P33" s="21">
        <f t="shared" si="13"/>
        <v>753053.93670458801</v>
      </c>
      <c r="Q33" s="22">
        <f t="shared" si="14"/>
        <v>70.831805927659261</v>
      </c>
      <c r="R33" s="28">
        <f t="shared" si="15"/>
        <v>278.55206237535248</v>
      </c>
      <c r="S33" s="21">
        <f t="shared" si="16"/>
        <v>0</v>
      </c>
      <c r="T33" s="24">
        <f t="shared" si="17"/>
        <v>0</v>
      </c>
      <c r="U33" s="49">
        <f t="shared" si="18"/>
        <v>0</v>
      </c>
      <c r="V33" s="54">
        <v>0.33333333333333331</v>
      </c>
      <c r="W33" s="13">
        <f t="shared" si="19"/>
        <v>837073.47847452899</v>
      </c>
      <c r="X33" s="25">
        <f t="shared" si="19"/>
        <v>92.082508241590659</v>
      </c>
    </row>
    <row r="34" spans="1:24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29" t="s">
        <v>80</v>
      </c>
      <c r="V34" s="53"/>
      <c r="W34" s="30">
        <f>SUM(W3:W33)</f>
        <v>77860259.701636553</v>
      </c>
      <c r="X34" s="31">
        <f>SUM(X3:X33)</f>
        <v>15945.958774151324</v>
      </c>
    </row>
    <row r="35" spans="1:24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8"/>
      <c r="V35" s="8"/>
      <c r="W35" s="7"/>
      <c r="X35" s="6"/>
    </row>
    <row r="36" spans="1:24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8"/>
      <c r="V36" s="8"/>
      <c r="W36" s="7"/>
      <c r="X36" s="6"/>
    </row>
    <row r="37" spans="1:24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8"/>
      <c r="V37" s="8"/>
      <c r="W37" s="7"/>
      <c r="X37" s="6"/>
    </row>
    <row r="38" spans="1:24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8"/>
      <c r="V38" s="8"/>
      <c r="W38" s="7"/>
      <c r="X38" s="6"/>
    </row>
    <row r="39" spans="1:24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8"/>
      <c r="V39" s="8"/>
      <c r="W39" s="7"/>
      <c r="X39" s="6"/>
    </row>
    <row r="40" spans="1:24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8"/>
      <c r="V40" s="8"/>
      <c r="W40" s="7"/>
      <c r="X40" s="6"/>
    </row>
    <row r="41" spans="1:24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8"/>
      <c r="V41" s="8"/>
      <c r="W41" s="7"/>
      <c r="X41" s="6"/>
    </row>
    <row r="42" spans="1:24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8"/>
      <c r="V42" s="8"/>
      <c r="W42" s="7"/>
      <c r="X42" s="6"/>
    </row>
    <row r="43" spans="1:24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8"/>
      <c r="V43" s="8"/>
      <c r="W43" s="7"/>
      <c r="X43" s="6"/>
    </row>
    <row r="44" spans="1:24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8"/>
      <c r="V44" s="8"/>
      <c r="W44" s="7"/>
      <c r="X44" s="6"/>
    </row>
    <row r="45" spans="1:24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8"/>
      <c r="V45" s="8"/>
      <c r="W45" s="7"/>
      <c r="X45" s="6"/>
    </row>
    <row r="46" spans="1:24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8"/>
      <c r="V46" s="8"/>
      <c r="W46" s="7"/>
      <c r="X46" s="6"/>
    </row>
    <row r="47" spans="1:24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8"/>
      <c r="V47" s="8"/>
      <c r="W47" s="7"/>
      <c r="X47" s="6"/>
    </row>
    <row r="48" spans="1:24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8"/>
      <c r="V48" s="8"/>
      <c r="W48" s="7"/>
      <c r="X48" s="6"/>
    </row>
    <row r="49" spans="2:24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8"/>
      <c r="V49" s="8"/>
      <c r="W49" s="7"/>
      <c r="X49" s="6"/>
    </row>
    <row r="50" spans="2:24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8"/>
      <c r="V50" s="8"/>
      <c r="W50" s="7"/>
      <c r="X50" s="6"/>
    </row>
    <row r="51" spans="2:24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8"/>
      <c r="V51" s="8"/>
      <c r="W51" s="7"/>
      <c r="X51" s="6"/>
    </row>
    <row r="52" spans="2:24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8"/>
      <c r="V52" s="8"/>
      <c r="W52" s="7"/>
      <c r="X52" s="6"/>
    </row>
    <row r="53" spans="2:24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8"/>
      <c r="V53" s="8"/>
      <c r="W53" s="7"/>
      <c r="X53" s="6"/>
    </row>
    <row r="54" spans="2:24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8"/>
      <c r="V54" s="8"/>
      <c r="W54" s="7"/>
      <c r="X54" s="6"/>
    </row>
    <row r="55" spans="2:24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8"/>
      <c r="V55" s="8"/>
      <c r="W55" s="7"/>
      <c r="X55" s="6"/>
    </row>
    <row r="56" spans="2:24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8"/>
      <c r="V56" s="8"/>
      <c r="W56" s="7"/>
      <c r="X56" s="6"/>
    </row>
    <row r="57" spans="2:24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8"/>
      <c r="V57" s="8"/>
      <c r="W57" s="7"/>
      <c r="X57" s="6"/>
    </row>
    <row r="58" spans="2:24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8"/>
      <c r="V58" s="8"/>
      <c r="W58" s="7"/>
      <c r="X58" s="6"/>
    </row>
    <row r="59" spans="2:24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8"/>
      <c r="V59" s="8"/>
      <c r="W59" s="7"/>
      <c r="X59" s="6"/>
    </row>
    <row r="60" spans="2:24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8"/>
      <c r="V60" s="8"/>
      <c r="W60" s="7"/>
      <c r="X60" s="6"/>
    </row>
    <row r="61" spans="2:24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8"/>
      <c r="V61" s="8"/>
      <c r="W61" s="7"/>
      <c r="X61" s="6"/>
    </row>
    <row r="62" spans="2:24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8"/>
      <c r="V62" s="8"/>
      <c r="W62" s="7"/>
      <c r="X62" s="6"/>
    </row>
    <row r="63" spans="2:24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8"/>
      <c r="V63" s="8"/>
      <c r="W63" s="7"/>
      <c r="X63" s="6"/>
    </row>
    <row r="64" spans="2:24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8"/>
      <c r="V64" s="8"/>
      <c r="W64" s="7"/>
      <c r="X64" s="6"/>
    </row>
    <row r="65" spans="2:24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8"/>
      <c r="V65" s="8"/>
      <c r="W65" s="7"/>
      <c r="X65" s="6"/>
    </row>
    <row r="66" spans="2:24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8"/>
      <c r="V66" s="8"/>
      <c r="W66" s="7"/>
      <c r="X66" s="6"/>
    </row>
    <row r="67" spans="2:24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8"/>
      <c r="V67" s="8"/>
      <c r="W67" s="7"/>
      <c r="X67" s="6"/>
    </row>
    <row r="68" spans="2:24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8"/>
      <c r="V68" s="8"/>
      <c r="W68" s="7"/>
      <c r="X68" s="6"/>
    </row>
    <row r="69" spans="2:24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8"/>
      <c r="V69" s="8"/>
      <c r="W69" s="7"/>
      <c r="X69" s="6"/>
    </row>
    <row r="70" spans="2:24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8"/>
      <c r="V70" s="8"/>
      <c r="W70" s="7"/>
      <c r="X70" s="6"/>
    </row>
    <row r="71" spans="2:24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8"/>
      <c r="V71" s="8"/>
      <c r="W71" s="7"/>
      <c r="X71" s="6"/>
    </row>
    <row r="72" spans="2:24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8"/>
      <c r="V72" s="8"/>
      <c r="W72" s="7"/>
      <c r="X72" s="6"/>
    </row>
    <row r="73" spans="2:24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8"/>
      <c r="V73" s="8"/>
      <c r="W73" s="7"/>
      <c r="X73" s="6"/>
    </row>
    <row r="74" spans="2:24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8"/>
      <c r="V74" s="8"/>
      <c r="W74" s="7"/>
      <c r="X74" s="6"/>
    </row>
    <row r="75" spans="2:24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8"/>
      <c r="V75" s="8"/>
      <c r="W75" s="7"/>
      <c r="X75" s="6"/>
    </row>
    <row r="76" spans="2:24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8"/>
      <c r="V76" s="8"/>
      <c r="W76" s="7"/>
      <c r="X76" s="6"/>
    </row>
    <row r="77" spans="2:24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8"/>
      <c r="V77" s="8"/>
      <c r="W77" s="7"/>
      <c r="X77" s="6"/>
    </row>
    <row r="78" spans="2:24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8"/>
      <c r="V78" s="8"/>
      <c r="W78" s="7"/>
      <c r="X78" s="6"/>
    </row>
    <row r="79" spans="2:24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8"/>
      <c r="V79" s="8"/>
      <c r="W79" s="7"/>
      <c r="X79" s="6"/>
    </row>
    <row r="80" spans="2:24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8"/>
      <c r="V80" s="8"/>
      <c r="W80" s="7"/>
      <c r="X80" s="6"/>
    </row>
    <row r="81" spans="2:24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8"/>
      <c r="V81" s="8"/>
      <c r="W81" s="7"/>
      <c r="X81" s="6"/>
    </row>
    <row r="82" spans="2:24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8"/>
      <c r="V82" s="8"/>
      <c r="W82" s="7"/>
      <c r="X82" s="6"/>
    </row>
    <row r="83" spans="2:24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8"/>
      <c r="V83" s="8"/>
      <c r="W83" s="7"/>
      <c r="X83" s="6"/>
    </row>
    <row r="84" spans="2:24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8"/>
      <c r="V84" s="8"/>
      <c r="W84" s="7"/>
      <c r="X84" s="6"/>
    </row>
    <row r="85" spans="2:24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8"/>
      <c r="V85" s="8"/>
      <c r="W85" s="7"/>
      <c r="X85" s="6"/>
    </row>
    <row r="86" spans="2:24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8"/>
      <c r="V86" s="8"/>
      <c r="W86" s="7"/>
      <c r="X86" s="6"/>
    </row>
    <row r="87" spans="2:24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8"/>
      <c r="V87" s="8"/>
      <c r="W87" s="7"/>
      <c r="X87" s="6"/>
    </row>
    <row r="88" spans="2:24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8"/>
      <c r="V88" s="8"/>
      <c r="W88" s="7"/>
      <c r="X88" s="6"/>
    </row>
    <row r="89" spans="2:24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8"/>
      <c r="V89" s="8"/>
      <c r="W89" s="7"/>
      <c r="X89" s="6"/>
    </row>
    <row r="90" spans="2:24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8"/>
      <c r="V90" s="8"/>
      <c r="W90" s="7"/>
      <c r="X90" s="6"/>
    </row>
    <row r="91" spans="2:24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8"/>
      <c r="V91" s="8"/>
      <c r="W91" s="7"/>
      <c r="X91" s="6"/>
    </row>
    <row r="92" spans="2:24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8"/>
      <c r="V92" s="8"/>
      <c r="W92" s="7"/>
      <c r="X92" s="6"/>
    </row>
    <row r="93" spans="2:24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8"/>
      <c r="V93" s="8"/>
      <c r="W93" s="7"/>
      <c r="X93" s="6"/>
    </row>
    <row r="94" spans="2:24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8"/>
      <c r="V94" s="8"/>
      <c r="W94" s="7"/>
      <c r="X94" s="6"/>
    </row>
    <row r="95" spans="2:24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8"/>
      <c r="V95" s="8"/>
      <c r="W95" s="7"/>
      <c r="X95" s="6"/>
    </row>
    <row r="96" spans="2:24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8"/>
      <c r="V96" s="8"/>
      <c r="W96" s="7"/>
      <c r="X96" s="6"/>
    </row>
    <row r="97" spans="2:24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8"/>
      <c r="V97" s="8"/>
      <c r="W97" s="7"/>
      <c r="X97" s="6"/>
    </row>
    <row r="98" spans="2:24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8"/>
      <c r="V98" s="8"/>
      <c r="W98" s="7"/>
      <c r="X98" s="6"/>
    </row>
    <row r="99" spans="2:24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8"/>
      <c r="V99" s="8"/>
      <c r="W99" s="7"/>
      <c r="X99" s="6"/>
    </row>
    <row r="100" spans="2:24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8"/>
      <c r="V100" s="8"/>
      <c r="W100" s="7"/>
      <c r="X100" s="6"/>
    </row>
    <row r="101" spans="2:24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8"/>
      <c r="V101" s="8"/>
      <c r="W101" s="7"/>
      <c r="X101" s="6"/>
    </row>
    <row r="102" spans="2:24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8"/>
      <c r="V102" s="8"/>
      <c r="W102" s="7"/>
      <c r="X102" s="6"/>
    </row>
    <row r="103" spans="2:24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8"/>
      <c r="V103" s="8"/>
      <c r="W103" s="7"/>
      <c r="X103" s="6"/>
    </row>
    <row r="104" spans="2:24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8"/>
      <c r="V104" s="8"/>
      <c r="W104" s="7"/>
      <c r="X104" s="6"/>
    </row>
    <row r="105" spans="2:24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8"/>
      <c r="V105" s="8"/>
      <c r="W105" s="7"/>
      <c r="X105" s="6"/>
    </row>
    <row r="106" spans="2:24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8"/>
      <c r="V106" s="8"/>
      <c r="W106" s="7"/>
      <c r="X106" s="6"/>
    </row>
    <row r="107" spans="2:24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8"/>
      <c r="V107" s="8"/>
      <c r="W107" s="7"/>
      <c r="X107" s="6"/>
    </row>
    <row r="108" spans="2:24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8"/>
      <c r="V108" s="8"/>
      <c r="W108" s="7"/>
      <c r="X108" s="6"/>
    </row>
    <row r="109" spans="2:24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8"/>
      <c r="V109" s="8"/>
      <c r="W109" s="7"/>
      <c r="X109" s="6"/>
    </row>
    <row r="110" spans="2:24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8"/>
      <c r="V110" s="8"/>
      <c r="W110" s="7"/>
      <c r="X110" s="6"/>
    </row>
    <row r="111" spans="2:24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8"/>
      <c r="V111" s="8"/>
      <c r="W111" s="7"/>
      <c r="X111" s="6"/>
    </row>
    <row r="112" spans="2:24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8"/>
      <c r="V112" s="8"/>
      <c r="W112" s="7"/>
      <c r="X112" s="6"/>
    </row>
    <row r="113" spans="2:24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8"/>
      <c r="V113" s="8"/>
      <c r="W113" s="7"/>
      <c r="X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2A97-0C6B-0942-A341-42981AFCBDC7}">
  <dimension ref="A1:Y113"/>
  <sheetViews>
    <sheetView workbookViewId="0">
      <selection activeCell="H21" sqref="H21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22.83203125" style="1" bestFit="1" customWidth="1"/>
    <col min="22" max="22" width="7.1640625" style="1" bestFit="1" customWidth="1"/>
    <col min="23" max="23" width="21.33203125" style="1" bestFit="1" customWidth="1"/>
    <col min="24" max="24" width="13.5" style="1" bestFit="1" customWidth="1"/>
    <col min="25" max="25" width="15" style="1" bestFit="1" customWidth="1"/>
    <col min="26" max="2001" width="8.83203125" style="1"/>
    <col min="2002" max="2002" width="2.33203125" style="1" customWidth="1"/>
    <col min="2003" max="16384" width="8.83203125" style="1"/>
  </cols>
  <sheetData>
    <row r="1" spans="1:25" x14ac:dyDescent="0.2">
      <c r="C1" s="216" t="s">
        <v>7</v>
      </c>
      <c r="D1" s="217"/>
      <c r="E1" s="218"/>
      <c r="F1" s="219" t="s">
        <v>8</v>
      </c>
      <c r="G1" s="220"/>
      <c r="H1" s="221"/>
      <c r="I1" s="222" t="s">
        <v>9</v>
      </c>
      <c r="J1" s="223"/>
      <c r="K1" s="224"/>
      <c r="L1" s="225" t="s">
        <v>10</v>
      </c>
      <c r="M1" s="226"/>
      <c r="N1" s="227"/>
      <c r="O1" s="228" t="s">
        <v>11</v>
      </c>
      <c r="P1" s="229"/>
      <c r="Q1" s="230"/>
      <c r="R1" s="213" t="s">
        <v>255</v>
      </c>
      <c r="S1" s="214"/>
      <c r="T1" s="215"/>
      <c r="U1" s="165" t="s">
        <v>256</v>
      </c>
    </row>
    <row r="2" spans="1:25" x14ac:dyDescent="0.2">
      <c r="A2" s="2" t="s">
        <v>3</v>
      </c>
      <c r="B2" s="3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5"/>
      <c r="V2" s="2" t="s">
        <v>13</v>
      </c>
      <c r="W2" s="2" t="s">
        <v>137</v>
      </c>
      <c r="X2" s="2" t="s">
        <v>14</v>
      </c>
      <c r="Y2" s="2" t="s">
        <v>15</v>
      </c>
    </row>
    <row r="3" spans="1:25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C3*uHealthy*W3/(1+discount_rate)^A3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17">
        <f>0</f>
        <v>0</v>
      </c>
      <c r="V3" s="48">
        <f>SUM(C3,F3,I3,L3,O3,R3)-B3</f>
        <v>0</v>
      </c>
      <c r="W3" s="55">
        <v>0.33333333333333331</v>
      </c>
      <c r="X3" s="12">
        <f>SUM(D3,G3,J3,M3,P3,S3)</f>
        <v>0</v>
      </c>
      <c r="Y3" s="12">
        <f>SUM(E3,H3,K3,N3,Q3,T3)</f>
        <v>333.33333333333331</v>
      </c>
    </row>
    <row r="4" spans="1:25" x14ac:dyDescent="0.2">
      <c r="A4" s="10">
        <v>1</v>
      </c>
      <c r="B4" s="15">
        <f>SUM(C4,F4,I4,L4,O4)</f>
        <v>994.84021760779171</v>
      </c>
      <c r="C4" s="27">
        <f>(1-SUM(pHealthyStage1,pHealthyStage2,pHealthyStage3))*C3*(1-'Life Table - Female'!B58)</f>
        <v>915.25300019916835</v>
      </c>
      <c r="D4" s="19">
        <f t="shared" ref="D4:D33" si="2">C4*0*W4/(1+discount_rate)^A4</f>
        <v>0</v>
      </c>
      <c r="E4" s="20">
        <f t="shared" si="1"/>
        <v>592.39676388295686</v>
      </c>
      <c r="F4" s="27">
        <f>SUM(pHealthyStage1*C3,(1-SUM(pStage1Remission,pStage1Stage2))*F3,pStage2Stage1*I3,pRemissionStage1_trtB*O3)*(1-'Life Table - Female'!B58)</f>
        <v>49.742010880389586</v>
      </c>
      <c r="G4" s="19">
        <f t="shared" ref="G4:G33" si="3">F4*SUM(nVisitsStage1*cVisit,cTreatmentStage1)*W4/(1+discount_rate)^A4</f>
        <v>51512.762076778854</v>
      </c>
      <c r="H4" s="20">
        <f t="shared" ref="H4:H33" si="4">F4*uStage1*W4/(1+discount_rate)^A4</f>
        <v>28.332019142228372</v>
      </c>
      <c r="I4" s="27">
        <f>SUM(pHealthyStage2*C3,pStage1Stage2*F3,(1-SUM(pStage2Remission, pStage2Stage1, pStage2Stage3))*I3,pStage3Stage2*L3,pRemissionStage2_trtB*O3)*(1-'Life Table - Female'!B58)</f>
        <v>19.896804352155833</v>
      </c>
      <c r="J4" s="19">
        <f t="shared" ref="J4:J33" si="5">I4*SUM(nVisitsStage2*cVisit,cTreatmentStage2)*W4/(1+discount_rate)^A4</f>
        <v>92722.97173820193</v>
      </c>
      <c r="K4" s="20">
        <f t="shared" ref="K4:K33" si="6">I4*uStage2*W4/(1+discount_rate)^A4</f>
        <v>9.1435152686282457</v>
      </c>
      <c r="L4" s="27">
        <f>SUM(pHealthyStage3*C3,pStage2Stage3*I3,(1-SUM(pStage3Death, pStage3Stage2))*L3)*(1-'Life Table - Female'!B58)</f>
        <v>9.9484021760779164</v>
      </c>
      <c r="M4" s="19">
        <f t="shared" ref="M4:M33" si="7">L4*SUM(nVisitsStage3*cVisit,cTreatmentStage3)*W4/(1+discount_rate)^A4</f>
        <v>149387.01002265865</v>
      </c>
      <c r="N4" s="20">
        <f t="shared" ref="N4:N33" si="8">L4*uStage3*W4/(1+discount_rate)^A4</f>
        <v>2.3180742934550485</v>
      </c>
      <c r="O4" s="27">
        <f>SUM(pStage1Remission*F3,pStage2Remission*I3,(1-SUM(pRemissionStage1_trtB, pRemissionStage2_trtB))*O3)*(1-'Life Table - Female'!B58)</f>
        <v>0</v>
      </c>
      <c r="P4" s="19">
        <f t="shared" ref="P4:P33" si="9">O4*SUM(nVisitsRemission*cVisit, cTrtB)*W4/(1+discount_rate)^A4</f>
        <v>0</v>
      </c>
      <c r="Q4" s="20">
        <f t="shared" ref="Q4:Q33" si="10">O4*uRemission*W4/(1+discount_rate)^A4</f>
        <v>0</v>
      </c>
      <c r="R4" s="27">
        <f>SUM(pStage3Death*L3*(1-'Life Table - Female'!B58),R3)</f>
        <v>0</v>
      </c>
      <c r="S4" s="19">
        <f t="shared" ref="S4:S33" si="11">R4*0*W4/(1+discount_rate)^A4</f>
        <v>0</v>
      </c>
      <c r="T4" s="23">
        <f t="shared" ref="T4:T33" si="12">R4*0*W4/(1+discount_rate)^A4</f>
        <v>0</v>
      </c>
      <c r="U4" s="13">
        <f>SUM(B3*'Life Table - Female'!B58,U3)</f>
        <v>5.1597823922082648</v>
      </c>
      <c r="V4" s="49">
        <f>SUM(C4,F4,I4,L4,O4,R4-R3,U4-U3)-B3</f>
        <v>0</v>
      </c>
      <c r="W4" s="54">
        <v>0.66666666666666663</v>
      </c>
      <c r="X4" s="13">
        <f>SUM(D4,G4,J4,M4,P4,S4)</f>
        <v>293622.74383763946</v>
      </c>
      <c r="Y4" s="25">
        <f>SUM(E4,H4,K4,N4,Q4,T4)</f>
        <v>632.19037258726848</v>
      </c>
    </row>
    <row r="5" spans="1:25" x14ac:dyDescent="0.2">
      <c r="A5" s="10">
        <v>2</v>
      </c>
      <c r="B5" s="15">
        <f t="shared" ref="B5:B33" si="13">SUM(C5,F5,I5,L5,O5)</f>
        <v>984.84398469654582</v>
      </c>
      <c r="C5" s="27">
        <f>(1-SUM(pHealthyStage1,pHealthyStage2,pHealthyStage3))*C4*(1-'Life Table - Female'!B59)</f>
        <v>837.33997855063433</v>
      </c>
      <c r="D5" s="19">
        <f t="shared" si="2"/>
        <v>0</v>
      </c>
      <c r="E5" s="20">
        <f t="shared" si="1"/>
        <v>1052.364317781298</v>
      </c>
      <c r="F5" s="27">
        <f>SUM(pHealthyStage1*C4,(1-SUM(pStage1Remission,pStage1Stage2))*F4,pStage2Stage1*I4,pRemissionStage1_trtB*O4)*(1-'Life Table - Female'!B59)</f>
        <v>78.64901736150216</v>
      </c>
      <c r="G5" s="19">
        <f t="shared" si="3"/>
        <v>158153.04964766197</v>
      </c>
      <c r="H5" s="20">
        <f t="shared" si="4"/>
        <v>86.984177306214093</v>
      </c>
      <c r="I5" s="27">
        <f>SUM(pHealthyStage2*C4,pStage1Stage2*F4,(1-SUM(pStage2Remission, pStage2Stage1, pStage2Stage3))*I4,pStage3Stage2*L4,pRemissionStage2_trtB*O4)*(1-'Life Table - Female'!B59)</f>
        <v>35.515719789659464</v>
      </c>
      <c r="J5" s="19">
        <f t="shared" si="5"/>
        <v>321378.93296326784</v>
      </c>
      <c r="K5" s="20">
        <f t="shared" si="6"/>
        <v>31.691533667211132</v>
      </c>
      <c r="L5" s="27">
        <f>SUM(pHealthyStage3*C4,pStage2Stage3*I4,(1-SUM(pStage3Death, pStage3Stage2))*L4)*(1-'Life Table - Female'!B59)</f>
        <v>17.015888032928768</v>
      </c>
      <c r="M5" s="19">
        <f t="shared" si="7"/>
        <v>496143.0261902755</v>
      </c>
      <c r="N5" s="20">
        <f t="shared" si="8"/>
        <v>7.6987710960559967</v>
      </c>
      <c r="O5" s="27">
        <f>SUM(pStage1Remission*F4,pStage2Remission*I4,(1-SUM(pRemissionStage1_trtB, pRemissionStage2_trtB))*O4)*(1-'Life Table - Female'!B59)</f>
        <v>16.323380961821201</v>
      </c>
      <c r="P5" s="19">
        <f t="shared" si="9"/>
        <v>155915.03479415731</v>
      </c>
      <c r="Q5" s="20">
        <f t="shared" si="10"/>
        <v>19.489379349269662</v>
      </c>
      <c r="R5" s="27">
        <f>SUM(pStage3Death*L4*(1-'Life Table - Female'!B59),R4)</f>
        <v>4.4518311714057823</v>
      </c>
      <c r="S5" s="19">
        <f t="shared" si="11"/>
        <v>0</v>
      </c>
      <c r="T5" s="23">
        <f t="shared" si="12"/>
        <v>0</v>
      </c>
      <c r="U5" s="13">
        <f>SUM(B4*'Life Table - Female'!B59,U4)</f>
        <v>10.704184132048294</v>
      </c>
      <c r="V5" s="49">
        <f t="shared" ref="V5:V33" si="14">SUM(C5,F5,I5,L5,O5,R5-R4,U5-U4)-B4</f>
        <v>0</v>
      </c>
      <c r="W5" s="54">
        <v>1.3333333333333333</v>
      </c>
      <c r="X5" s="13">
        <f t="shared" ref="X5:Y33" si="15">SUM(D5,G5,J5,M5,P5,S5)</f>
        <v>1131590.0435953627</v>
      </c>
      <c r="Y5" s="25">
        <f t="shared" si="15"/>
        <v>1198.228179200049</v>
      </c>
    </row>
    <row r="6" spans="1:25" x14ac:dyDescent="0.2">
      <c r="A6" s="10">
        <v>3</v>
      </c>
      <c r="B6" s="15">
        <f t="shared" si="13"/>
        <v>971.29683323852009</v>
      </c>
      <c r="C6" s="27">
        <f>(1-SUM(pHealthyStage1,pHealthyStage2,pHealthyStage3))*C5*(1-'Life Table - Female'!B60)</f>
        <v>765.70947242329805</v>
      </c>
      <c r="D6" s="19">
        <f t="shared" si="2"/>
        <v>0</v>
      </c>
      <c r="E6" s="20">
        <f t="shared" si="1"/>
        <v>467.15509145059292</v>
      </c>
      <c r="F6" s="27">
        <f>SUM(pHealthyStage1*C5,(1-SUM(pStage1Remission,pStage1Stage2))*F5,pStage2Stage1*I5,pRemissionStage1_trtB*O5)*(1-'Life Table - Female'!B60)</f>
        <v>95.491450834000858</v>
      </c>
      <c r="G6" s="19">
        <f t="shared" si="3"/>
        <v>93214.085088286083</v>
      </c>
      <c r="H6" s="20">
        <f t="shared" si="4"/>
        <v>51.26774679855734</v>
      </c>
      <c r="I6" s="27">
        <f>SUM(pHealthyStage2*C5,pStage1Stage2*F5,(1-SUM(pStage2Remission, pStage2Stage1, pStage2Stage3))*I5,pStage3Stage2*L5,pRemissionStage2_trtB*O5)*(1-'Life Table - Female'!B60)</f>
        <v>46.976759146253968</v>
      </c>
      <c r="J6" s="19">
        <f t="shared" si="5"/>
        <v>206353.86871745557</v>
      </c>
      <c r="K6" s="20">
        <f t="shared" si="6"/>
        <v>20.348784276304645</v>
      </c>
      <c r="L6" s="27">
        <f>SUM(pHealthyStage3*C5,pStage2Stage3*I5,(1-SUM(pStage3Death, pStage3Stage2))*L5)*(1-'Life Table - Female'!B60)</f>
        <v>22.074838634254814</v>
      </c>
      <c r="M6" s="19">
        <f t="shared" si="7"/>
        <v>312451.48227917356</v>
      </c>
      <c r="N6" s="20">
        <f t="shared" si="8"/>
        <v>4.8483850698492441</v>
      </c>
      <c r="O6" s="27">
        <f>SUM(pStage1Remission*F5,pStage2Remission*I5,(1-SUM(pRemissionStage1_trtB, pRemissionStage2_trtB))*O5)*(1-'Life Table - Female'!B60)</f>
        <v>41.044312200712554</v>
      </c>
      <c r="P6" s="19">
        <f t="shared" si="9"/>
        <v>190310.89053680404</v>
      </c>
      <c r="Q6" s="20">
        <f t="shared" si="10"/>
        <v>23.788861317100501</v>
      </c>
      <c r="R6" s="27">
        <f>SUM(pStage3Death*L5*(1-'Life Table - Female'!B60),R5)</f>
        <v>12.062827252707056</v>
      </c>
      <c r="S6" s="19">
        <f t="shared" si="11"/>
        <v>0</v>
      </c>
      <c r="T6" s="23">
        <f t="shared" si="12"/>
        <v>0</v>
      </c>
      <c r="U6" s="13">
        <f>SUM(B5*'Life Table - Female'!B60,U5)</f>
        <v>16.640339508772712</v>
      </c>
      <c r="V6" s="49">
        <f t="shared" si="14"/>
        <v>0</v>
      </c>
      <c r="W6" s="54">
        <v>0.66666666666666663</v>
      </c>
      <c r="X6" s="13">
        <f t="shared" si="15"/>
        <v>802330.32662171917</v>
      </c>
      <c r="Y6" s="25">
        <f t="shared" si="15"/>
        <v>567.40886891240461</v>
      </c>
    </row>
    <row r="7" spans="1:25" x14ac:dyDescent="0.2">
      <c r="A7" s="10">
        <v>4</v>
      </c>
      <c r="B7" s="15">
        <f t="shared" si="13"/>
        <v>955.07682188946228</v>
      </c>
      <c r="C7" s="27">
        <f>(1-SUM(pHealthyStage1,pHealthyStage2,pHealthyStage3))*C6*(1-'Life Table - Female'!B61)</f>
        <v>699.84631277307642</v>
      </c>
      <c r="D7" s="19">
        <f t="shared" si="2"/>
        <v>0</v>
      </c>
      <c r="E7" s="20">
        <f t="shared" si="1"/>
        <v>829.07251257390749</v>
      </c>
      <c r="F7" s="27">
        <f>SUM(pHealthyStage1*C6,(1-SUM(pStage1Remission,pStage1Stage2))*F6,pStage2Stage1*I6,pRemissionStage1_trtB*O6)*(1-'Life Table - Female'!B61)</f>
        <v>105.29425081781244</v>
      </c>
      <c r="G7" s="19">
        <f t="shared" si="3"/>
        <v>199578.83321943958</v>
      </c>
      <c r="H7" s="20">
        <f t="shared" si="4"/>
        <v>109.76835827069175</v>
      </c>
      <c r="I7" s="27">
        <f>SUM(pHealthyStage2*C6,pStage1Stage2*F6,(1-SUM(pStage2Remission, pStage2Stage1, pStage2Stage3))*I6,pStage3Stage2*L6,pRemissionStage2_trtB*O6)*(1-'Life Table - Female'!B61)</f>
        <v>55.022303460441123</v>
      </c>
      <c r="J7" s="19">
        <f t="shared" si="5"/>
        <v>469311.39812244987</v>
      </c>
      <c r="K7" s="20">
        <f t="shared" si="6"/>
        <v>46.279318425963801</v>
      </c>
      <c r="L7" s="27">
        <f>SUM(pHealthyStage3*C6,pStage2Stage3*I6,(1-SUM(pStage3Death, pStage3Stage2))*L6)*(1-'Life Table - Female'!B61)</f>
        <v>25.572707859585933</v>
      </c>
      <c r="M7" s="19">
        <f t="shared" si="7"/>
        <v>702836.87646703096</v>
      </c>
      <c r="N7" s="20">
        <f t="shared" si="8"/>
        <v>10.906089462419443</v>
      </c>
      <c r="O7" s="27">
        <f>SUM(pStage1Remission*F6,pStage2Remission*I6,(1-SUM(pRemissionStage1_trtB, pRemissionStage2_trtB))*O6)*(1-'Life Table - Female'!B61)</f>
        <v>69.341246978546394</v>
      </c>
      <c r="P7" s="19">
        <f t="shared" si="9"/>
        <v>624302.50491118187</v>
      </c>
      <c r="Q7" s="20">
        <f t="shared" si="10"/>
        <v>78.037813113897727</v>
      </c>
      <c r="R7" s="27">
        <f>SUM(pStage3Death*L6*(1-'Life Table - Female'!B61),R6)</f>
        <v>21.931548525385747</v>
      </c>
      <c r="S7" s="19">
        <f t="shared" si="11"/>
        <v>0</v>
      </c>
      <c r="T7" s="23">
        <f t="shared" si="12"/>
        <v>0</v>
      </c>
      <c r="U7" s="13">
        <f>SUM(B6*'Life Table - Female'!B61,U6)</f>
        <v>22.991629585152019</v>
      </c>
      <c r="V7" s="49">
        <f t="shared" si="14"/>
        <v>0</v>
      </c>
      <c r="W7" s="54">
        <v>1.3333333333333333</v>
      </c>
      <c r="X7" s="13">
        <f t="shared" si="15"/>
        <v>1996029.6127201025</v>
      </c>
      <c r="Y7" s="25">
        <f t="shared" si="15"/>
        <v>1074.0640918468803</v>
      </c>
    </row>
    <row r="8" spans="1:25" x14ac:dyDescent="0.2">
      <c r="A8" s="10">
        <v>5</v>
      </c>
      <c r="B8" s="15">
        <f t="shared" si="13"/>
        <v>936.86764744550453</v>
      </c>
      <c r="C8" s="27">
        <f>(1-SUM(pHealthyStage1,pHealthyStage2,pHealthyStage3))*C7*(1-'Life Table - Female'!B62)</f>
        <v>639.28576824753213</v>
      </c>
      <c r="D8" s="19">
        <f t="shared" si="2"/>
        <v>0</v>
      </c>
      <c r="E8" s="20">
        <f t="shared" si="1"/>
        <v>367.63567961473342</v>
      </c>
      <c r="F8" s="27">
        <f>SUM(pHealthyStage1*C7,(1-SUM(pStage1Remission,pStage1Stage2))*F7,pStage2Stage1*I7,pRemissionStage1_trtB*O7)*(1-'Life Table - Female'!B62)</f>
        <v>110.93844596853705</v>
      </c>
      <c r="G8" s="19">
        <f t="shared" si="3"/>
        <v>102076.24321961388</v>
      </c>
      <c r="H8" s="20">
        <f t="shared" si="4"/>
        <v>56.141933770787631</v>
      </c>
      <c r="I8" s="27">
        <f>SUM(pHealthyStage2*C7,pStage1Stage2*F7,(1-SUM(pStage2Remission, pStage2Stage1, pStage2Stage3))*I7,pStage3Stage2*L7,pRemissionStage2_trtB*O7)*(1-'Life Table - Female'!B62)</f>
        <v>60.466089590498008</v>
      </c>
      <c r="J8" s="19">
        <f t="shared" si="5"/>
        <v>250361.18418299253</v>
      </c>
      <c r="K8" s="20">
        <f t="shared" si="6"/>
        <v>24.68839455137843</v>
      </c>
      <c r="L8" s="27">
        <f>SUM(pHealthyStage3*C7,pStage2Stage3*I7,(1-SUM(pStage3Death, pStage3Stage2))*L7)*(1-'Life Table - Female'!B62)</f>
        <v>27.839028766933847</v>
      </c>
      <c r="M8" s="19">
        <f t="shared" si="7"/>
        <v>371419.48380231299</v>
      </c>
      <c r="N8" s="20">
        <f t="shared" si="8"/>
        <v>5.7634057831393379</v>
      </c>
      <c r="O8" s="27">
        <f>SUM(pStage1Remission*F7,pStage2Remission*I7,(1-SUM(pRemissionStage1_trtB, pRemissionStage2_trtB))*O7)*(1-'Life Table - Female'!B62)</f>
        <v>98.33831487200348</v>
      </c>
      <c r="P8" s="19">
        <f t="shared" si="9"/>
        <v>429792.63753397216</v>
      </c>
      <c r="Q8" s="20">
        <f t="shared" si="10"/>
        <v>53.72407969174651</v>
      </c>
      <c r="R8" s="27">
        <f>SUM(pStage3Death*L7*(1-'Life Table - Female'!B62),R7)</f>
        <v>33.357536462827028</v>
      </c>
      <c r="S8" s="19">
        <f t="shared" si="11"/>
        <v>0</v>
      </c>
      <c r="T8" s="23">
        <f t="shared" si="12"/>
        <v>0</v>
      </c>
      <c r="U8" s="13">
        <f>SUM(B7*'Life Table - Female'!B62,U7)</f>
        <v>29.77481609166863</v>
      </c>
      <c r="V8" s="49">
        <f t="shared" si="14"/>
        <v>0</v>
      </c>
      <c r="W8" s="54">
        <v>0.66666666666666663</v>
      </c>
      <c r="X8" s="13">
        <f t="shared" si="15"/>
        <v>1153649.5487388917</v>
      </c>
      <c r="Y8" s="25">
        <f t="shared" si="15"/>
        <v>507.9534934117853</v>
      </c>
    </row>
    <row r="9" spans="1:25" x14ac:dyDescent="0.2">
      <c r="A9" s="10">
        <v>6</v>
      </c>
      <c r="B9" s="15">
        <f t="shared" si="13"/>
        <v>917.20892034854307</v>
      </c>
      <c r="C9" s="27">
        <f>(1-SUM(pHealthyStage1,pHealthyStage2,pHealthyStage3))*C8*(1-'Life Table - Female'!B63)</f>
        <v>583.60546036149196</v>
      </c>
      <c r="D9" s="19">
        <f t="shared" si="2"/>
        <v>0</v>
      </c>
      <c r="E9" s="20">
        <f t="shared" si="1"/>
        <v>651.68051355648799</v>
      </c>
      <c r="F9" s="27">
        <f>SUM(pHealthyStage1*C8,(1-SUM(pStage1Remission,pStage1Stage2))*F8,pStage2Stage1*I8,pRemissionStage1_trtB*O8)*(1-'Life Table - Female'!B63)</f>
        <v>114.07771057743057</v>
      </c>
      <c r="G9" s="19">
        <f t="shared" si="3"/>
        <v>203815.01151384</v>
      </c>
      <c r="H9" s="20">
        <f t="shared" si="4"/>
        <v>112.09825633261198</v>
      </c>
      <c r="I9" s="27">
        <f>SUM(pHealthyStage2*C8,pStage1Stage2*F8,(1-SUM(pStage2Remission, pStage2Stage1, pStage2Stage3))*I8,pStage3Stage2*L8,pRemissionStage2_trtB*O8)*(1-'Life Table - Female'!B63)</f>
        <v>64.003695304271503</v>
      </c>
      <c r="J9" s="19">
        <f t="shared" si="5"/>
        <v>514580.03699428722</v>
      </c>
      <c r="K9" s="20">
        <f t="shared" si="6"/>
        <v>50.743309203603324</v>
      </c>
      <c r="L9" s="27">
        <f>SUM(pHealthyStage3*C8,pStage2Stage3*I8,(1-SUM(pStage3Death, pStage3Stage2))*L8)*(1-'Life Table - Female'!B63)</f>
        <v>29.15560497361448</v>
      </c>
      <c r="M9" s="19">
        <f t="shared" si="7"/>
        <v>755310.34093355061</v>
      </c>
      <c r="N9" s="20">
        <f t="shared" si="8"/>
        <v>11.720332876555094</v>
      </c>
      <c r="O9" s="27">
        <f>SUM(pStage1Remission*F8,pStage2Remission*I8,(1-SUM(pRemissionStage1_trtB, pRemissionStage2_trtB))*O8)*(1-'Life Table - Female'!B63)</f>
        <v>126.36644913173447</v>
      </c>
      <c r="P9" s="19">
        <f t="shared" si="9"/>
        <v>1072409.7721045471</v>
      </c>
      <c r="Q9" s="20">
        <f t="shared" si="10"/>
        <v>134.05122151306838</v>
      </c>
      <c r="R9" s="27">
        <f>SUM(pStage3Death*L8*(1-'Life Table - Female'!B63),R8)</f>
        <v>45.788450880763172</v>
      </c>
      <c r="S9" s="19">
        <f t="shared" si="11"/>
        <v>0</v>
      </c>
      <c r="T9" s="23">
        <f t="shared" si="12"/>
        <v>0</v>
      </c>
      <c r="U9" s="13">
        <f>SUM(B8*'Life Table - Female'!B63,U8)</f>
        <v>37.002628770693953</v>
      </c>
      <c r="V9" s="49">
        <f t="shared" si="14"/>
        <v>0</v>
      </c>
      <c r="W9" s="54">
        <v>1.3333333333333333</v>
      </c>
      <c r="X9" s="13">
        <f t="shared" si="15"/>
        <v>2546115.1615462247</v>
      </c>
      <c r="Y9" s="25">
        <f t="shared" si="15"/>
        <v>960.29363348232675</v>
      </c>
    </row>
    <row r="10" spans="1:25" x14ac:dyDescent="0.2">
      <c r="A10" s="10">
        <v>7</v>
      </c>
      <c r="B10" s="15">
        <f t="shared" si="13"/>
        <v>896.54204848239613</v>
      </c>
      <c r="C10" s="27">
        <f>(1-SUM(pHealthyStage1,pHealthyStage2,pHealthyStage3))*C9*(1-'Life Table - Female'!B64)</f>
        <v>532.43512794930257</v>
      </c>
      <c r="D10" s="19">
        <f t="shared" si="2"/>
        <v>0</v>
      </c>
      <c r="E10" s="20">
        <f t="shared" si="1"/>
        <v>288.61232191772689</v>
      </c>
      <c r="F10" s="27">
        <f>SUM(pHealthyStage1*C9,(1-SUM(pStage1Remission,pStage1Stage2))*F9,pStage2Stage1*I9,pRemissionStage1_trtB*O9)*(1-'Life Table - Female'!B64)</f>
        <v>115.66663499157671</v>
      </c>
      <c r="G10" s="19">
        <f t="shared" si="3"/>
        <v>100317.39632778789</v>
      </c>
      <c r="H10" s="20">
        <f t="shared" si="4"/>
        <v>55.174567980283342</v>
      </c>
      <c r="I10" s="27">
        <f>SUM(pHealthyStage2*C9,pStage1Stage2*F9,(1-SUM(pStage2Remission, pStage2Stage1, pStage2Stage3))*I9,pStage3Stage2*L9,pRemissionStage2_trtB*O9)*(1-'Life Table - Female'!B64)</f>
        <v>66.173837618135536</v>
      </c>
      <c r="J10" s="19">
        <f t="shared" si="5"/>
        <v>258265.85107353359</v>
      </c>
      <c r="K10" s="20">
        <f t="shared" si="6"/>
        <v>25.467882536417893</v>
      </c>
      <c r="L10" s="27">
        <f>SUM(pHealthyStage3*C9,pStage2Stage3*I9,(1-SUM(pStage3Death, pStage3Stage2))*L9)*(1-'Life Table - Female'!B64)</f>
        <v>29.763867164274977</v>
      </c>
      <c r="M10" s="19">
        <f t="shared" si="7"/>
        <v>374304.89831715822</v>
      </c>
      <c r="N10" s="20">
        <f t="shared" si="8"/>
        <v>5.8081794566455587</v>
      </c>
      <c r="O10" s="27">
        <f>SUM(pStage1Remission*F9,pStage2Remission*I9,(1-SUM(pRemissionStage1_trtB, pRemissionStage2_trtB))*O9)*(1-'Life Table - Female'!B64)</f>
        <v>152.50258075910634</v>
      </c>
      <c r="P10" s="19">
        <f t="shared" si="9"/>
        <v>628259.3396241304</v>
      </c>
      <c r="Q10" s="20">
        <f t="shared" si="10"/>
        <v>78.532417453016294</v>
      </c>
      <c r="R10" s="27">
        <f>SUM(pStage3Death*L9*(1-'Life Table - Female'!B64),R9)</f>
        <v>58.798954204152025</v>
      </c>
      <c r="S10" s="19">
        <f t="shared" si="11"/>
        <v>0</v>
      </c>
      <c r="T10" s="23">
        <f t="shared" si="12"/>
        <v>0</v>
      </c>
      <c r="U10" s="13">
        <f>SUM(B9*'Life Table - Female'!B64,U9)</f>
        <v>44.658997313452069</v>
      </c>
      <c r="V10" s="49">
        <f t="shared" si="14"/>
        <v>0</v>
      </c>
      <c r="W10" s="54">
        <v>0.66666666666666663</v>
      </c>
      <c r="X10" s="13">
        <f t="shared" si="15"/>
        <v>1361147.4853426102</v>
      </c>
      <c r="Y10" s="25">
        <f t="shared" si="15"/>
        <v>453.59536934409005</v>
      </c>
    </row>
    <row r="11" spans="1:25" x14ac:dyDescent="0.2">
      <c r="A11" s="10">
        <v>8</v>
      </c>
      <c r="B11" s="15">
        <f t="shared" si="13"/>
        <v>875.22663024184783</v>
      </c>
      <c r="C11" s="27">
        <f>(1-SUM(pHealthyStage1,pHealthyStage2,pHealthyStage3))*C10*(1-'Life Table - Female'!B65)</f>
        <v>485.44654008824102</v>
      </c>
      <c r="D11" s="19">
        <f t="shared" si="2"/>
        <v>0</v>
      </c>
      <c r="E11" s="20">
        <f t="shared" si="1"/>
        <v>510.9546420152102</v>
      </c>
      <c r="F11" s="27">
        <f>SUM(pHealthyStage1*C10,(1-SUM(pStage1Remission,pStage1Stage2))*F10,pStage2Stage1*I10,pRemissionStage1_trtB*O10)*(1-'Life Table - Female'!B65)</f>
        <v>116.26168275571743</v>
      </c>
      <c r="G11" s="19">
        <f t="shared" si="3"/>
        <v>195793.1647237133</v>
      </c>
      <c r="H11" s="20">
        <f t="shared" si="4"/>
        <v>107.68624059804232</v>
      </c>
      <c r="I11" s="27">
        <f>SUM(pHealthyStage2*C10,pStage1Stage2*F10,(1-SUM(pStage2Remission, pStage2Stage1, pStage2Stage3))*I10,pStage3Stage2*L10,pRemissionStage2_trtB*O10)*(1-'Life Table - Female'!B65)</f>
        <v>67.373144937674951</v>
      </c>
      <c r="J11" s="19">
        <f t="shared" si="5"/>
        <v>510575.83448228927</v>
      </c>
      <c r="K11" s="20">
        <f t="shared" si="6"/>
        <v>50.348450344781298</v>
      </c>
      <c r="L11" s="27">
        <f>SUM(pHealthyStage3*C10,pStage2Stage3*I10,(1-SUM(pStage3Death, pStage3Stage2))*L10)*(1-'Life Table - Female'!B65)</f>
        <v>29.862078768470006</v>
      </c>
      <c r="M11" s="19">
        <f t="shared" si="7"/>
        <v>729203.86275580805</v>
      </c>
      <c r="N11" s="20">
        <f t="shared" si="8"/>
        <v>11.315232353107364</v>
      </c>
      <c r="O11" s="27">
        <f>SUM(pStage1Remission*F10,pStage2Remission*I10,(1-SUM(pRemissionStage1_trtB, pRemissionStage2_trtB))*O10)*(1-'Life Table - Female'!B65)</f>
        <v>176.2831836917444</v>
      </c>
      <c r="P11" s="19">
        <f t="shared" si="9"/>
        <v>1410150.3403466314</v>
      </c>
      <c r="Q11" s="20">
        <f t="shared" si="10"/>
        <v>176.26879254332891</v>
      </c>
      <c r="R11" s="27">
        <f>SUM(pStage3Death*L10*(1-'Life Table - Female'!B65),R10)</f>
        <v>72.072555039821182</v>
      </c>
      <c r="S11" s="19">
        <f t="shared" si="11"/>
        <v>0</v>
      </c>
      <c r="T11" s="23">
        <f t="shared" si="12"/>
        <v>0</v>
      </c>
      <c r="U11" s="13">
        <f>SUM(B10*'Life Table - Female'!B65,U10)</f>
        <v>52.700814718331237</v>
      </c>
      <c r="V11" s="49">
        <f t="shared" si="14"/>
        <v>0</v>
      </c>
      <c r="W11" s="54">
        <v>1.3333333333333333</v>
      </c>
      <c r="X11" s="13">
        <f t="shared" si="15"/>
        <v>2845723.202308442</v>
      </c>
      <c r="Y11" s="25">
        <f t="shared" si="15"/>
        <v>856.57335785447015</v>
      </c>
    </row>
    <row r="12" spans="1:25" x14ac:dyDescent="0.2">
      <c r="A12" s="10">
        <v>9</v>
      </c>
      <c r="B12" s="15">
        <f t="shared" si="13"/>
        <v>853.5411639394863</v>
      </c>
      <c r="C12" s="27">
        <f>(1-SUM(pHealthyStage1,pHealthyStage2,pHealthyStage3))*C11*(1-'Life Table - Female'!B66)</f>
        <v>442.33664095460114</v>
      </c>
      <c r="D12" s="19">
        <f t="shared" si="2"/>
        <v>0</v>
      </c>
      <c r="E12" s="20">
        <f t="shared" si="1"/>
        <v>226.00946863752102</v>
      </c>
      <c r="F12" s="27">
        <f>SUM(pHealthyStage1*C11,(1-SUM(pStage1Remission,pStage1Stage2))*F11,pStage2Stage1*I11,pRemissionStage1_trtB*O11)*(1-'Life Table - Female'!B66)</f>
        <v>116.19101131380066</v>
      </c>
      <c r="G12" s="19">
        <f t="shared" si="3"/>
        <v>94987.450900079464</v>
      </c>
      <c r="H12" s="20">
        <f t="shared" si="4"/>
        <v>52.243097995043698</v>
      </c>
      <c r="I12" s="27">
        <f>SUM(pHealthyStage2*C11,pStage1Stage2*F11,(1-SUM(pStage2Remission, pStage2Stage1, pStage2Stage3))*I11,pStage3Stage2*L11,pRemissionStage2_trtB*O11)*(1-'Life Table - Female'!B66)</f>
        <v>67.884635141705019</v>
      </c>
      <c r="J12" s="19">
        <f t="shared" si="5"/>
        <v>249734.01715989553</v>
      </c>
      <c r="K12" s="20">
        <f t="shared" si="6"/>
        <v>24.626548914378589</v>
      </c>
      <c r="L12" s="27">
        <f>SUM(pHealthyStage3*C11,pStage2Stage3*I11,(1-SUM(pStage3Death, pStage3Stage2))*L11)*(1-'Life Table - Female'!B66)</f>
        <v>29.605407705786675</v>
      </c>
      <c r="M12" s="19">
        <f t="shared" si="7"/>
        <v>350939.90142588044</v>
      </c>
      <c r="N12" s="20">
        <f t="shared" si="8"/>
        <v>5.4456191600567649</v>
      </c>
      <c r="O12" s="27">
        <f>SUM(pStage1Remission*F11,pStage2Remission*I11,(1-SUM(pRemissionStage1_trtB, pRemissionStage2_trtB))*O11)*(1-'Life Table - Female'!B66)</f>
        <v>197.52346882359288</v>
      </c>
      <c r="P12" s="19">
        <f t="shared" si="9"/>
        <v>767018.81045391201</v>
      </c>
      <c r="Q12" s="20">
        <f t="shared" si="10"/>
        <v>95.877351306739001</v>
      </c>
      <c r="R12" s="27">
        <f>SUM(pStage3Death*L11*(1-'Life Table - Female'!B66),R11)</f>
        <v>85.381886121353006</v>
      </c>
      <c r="S12" s="19">
        <f t="shared" si="11"/>
        <v>0</v>
      </c>
      <c r="T12" s="23">
        <f t="shared" si="12"/>
        <v>0</v>
      </c>
      <c r="U12" s="13">
        <f>SUM(B11*'Life Table - Female'!B66,U11)</f>
        <v>61.076949939160826</v>
      </c>
      <c r="V12" s="49">
        <f t="shared" si="14"/>
        <v>0</v>
      </c>
      <c r="W12" s="54">
        <v>0.66666666666666663</v>
      </c>
      <c r="X12" s="13">
        <f t="shared" si="15"/>
        <v>1462680.1799397673</v>
      </c>
      <c r="Y12" s="25">
        <f t="shared" si="15"/>
        <v>404.20208601373906</v>
      </c>
    </row>
    <row r="13" spans="1:25" x14ac:dyDescent="0.2">
      <c r="A13" s="10">
        <v>10</v>
      </c>
      <c r="B13" s="15">
        <f t="shared" si="13"/>
        <v>831.66420063270118</v>
      </c>
      <c r="C13" s="27">
        <f>(1-SUM(pHealthyStage1,pHealthyStage2,pHealthyStage3))*C12*(1-'Life Table - Female'!B67)</f>
        <v>402.8064273301552</v>
      </c>
      <c r="D13" s="19">
        <f t="shared" si="2"/>
        <v>0</v>
      </c>
      <c r="E13" s="20">
        <f t="shared" si="1"/>
        <v>399.63441527687792</v>
      </c>
      <c r="F13" s="27">
        <f>SUM(pHealthyStage1*C12,(1-SUM(pStage1Remission,pStage1Stage2))*F12,pStage2Stage1*I12,pRemissionStage1_trtB*O12)*(1-'Life Table - Female'!B67)</f>
        <v>115.64754359930468</v>
      </c>
      <c r="G13" s="19">
        <f t="shared" si="3"/>
        <v>183578.95139199219</v>
      </c>
      <c r="H13" s="20">
        <f t="shared" si="4"/>
        <v>100.96842326559569</v>
      </c>
      <c r="I13" s="27">
        <f>SUM(pHealthyStage2*C12,pStage1Stage2*F12,(1-SUM(pStage2Remission, pStage2Stage1, pStage2Stage3))*I12,pStage3Stage2*L12,pRemissionStage2_trtB*O12)*(1-'Life Table - Female'!B67)</f>
        <v>67.90412505294006</v>
      </c>
      <c r="J13" s="19">
        <f t="shared" si="5"/>
        <v>485059.64398347808</v>
      </c>
      <c r="K13" s="20">
        <f t="shared" si="6"/>
        <v>47.83227044837075</v>
      </c>
      <c r="L13" s="27">
        <f>SUM(pHealthyStage3*C12,pStage2Stage3*I12,(1-SUM(pStage3Death, pStage3Stage2))*L12)*(1-'Life Table - Female'!B67)</f>
        <v>29.109345688400548</v>
      </c>
      <c r="M13" s="19">
        <f t="shared" si="7"/>
        <v>670018.69099472859</v>
      </c>
      <c r="N13" s="20">
        <f t="shared" si="8"/>
        <v>10.396841756814755</v>
      </c>
      <c r="O13" s="27">
        <f>SUM(pStage1Remission*F12,pStage2Remission*I12,(1-SUM(pRemissionStage1_trtB, pRemissionStage2_trtB))*O12)*(1-'Life Table - Female'!B67)</f>
        <v>216.19675896190074</v>
      </c>
      <c r="P13" s="19">
        <f t="shared" si="9"/>
        <v>1630156.3533413031</v>
      </c>
      <c r="Q13" s="20">
        <f t="shared" si="10"/>
        <v>203.76954416766287</v>
      </c>
      <c r="R13" s="27">
        <f>SUM(pStage3Death*L12*(1-'Life Table - Female'!B67),R12)</f>
        <v>98.568679724602731</v>
      </c>
      <c r="S13" s="19">
        <f t="shared" si="11"/>
        <v>0</v>
      </c>
      <c r="T13" s="23">
        <f t="shared" si="12"/>
        <v>0</v>
      </c>
      <c r="U13" s="13">
        <f>SUM(B12*'Life Table - Female'!B67,U12)</f>
        <v>69.767119642696315</v>
      </c>
      <c r="V13" s="49">
        <f t="shared" si="14"/>
        <v>0</v>
      </c>
      <c r="W13" s="54">
        <v>1.3333333333333333</v>
      </c>
      <c r="X13" s="13">
        <f t="shared" si="15"/>
        <v>2968813.639711502</v>
      </c>
      <c r="Y13" s="25">
        <f t="shared" si="15"/>
        <v>762.60149491532195</v>
      </c>
    </row>
    <row r="14" spans="1:25" x14ac:dyDescent="0.2">
      <c r="A14" s="10">
        <v>11</v>
      </c>
      <c r="B14" s="15">
        <f t="shared" si="13"/>
        <v>809.68711392372643</v>
      </c>
      <c r="C14" s="27">
        <f>(1-SUM(pHealthyStage1,pHealthyStage2,pHealthyStage3))*C13*(1-'Life Table - Female'!B68)</f>
        <v>366.56270611591452</v>
      </c>
      <c r="D14" s="19">
        <f t="shared" si="2"/>
        <v>0</v>
      </c>
      <c r="E14" s="20">
        <f t="shared" si="1"/>
        <v>176.54179873717061</v>
      </c>
      <c r="F14" s="27">
        <f>SUM(pHealthyStage1*C13,(1-SUM(pStage1Remission,pStage1Stage2))*F13,pStage2Stage1*I13,pRemissionStage1_trtB*O13)*(1-'Life Table - Female'!B68)</f>
        <v>114.74405106289498</v>
      </c>
      <c r="G14" s="19">
        <f t="shared" si="3"/>
        <v>88419.780107701488</v>
      </c>
      <c r="H14" s="20">
        <f t="shared" si="4"/>
        <v>48.630879059235824</v>
      </c>
      <c r="I14" s="27">
        <f>SUM(pHealthyStage2*C13,pStage1Stage2*F13,(1-SUM(pStage2Remission, pStage2Stage1, pStage2Stage3))*I13,pStage3Stage2*L13,pRemissionStage2_trtB*O13)*(1-'Life Table - Female'!B68)</f>
        <v>67.563917841266132</v>
      </c>
      <c r="J14" s="19">
        <f t="shared" si="5"/>
        <v>234286.13653872657</v>
      </c>
      <c r="K14" s="20">
        <f t="shared" si="6"/>
        <v>23.103216242013314</v>
      </c>
      <c r="L14" s="27">
        <f>SUM(pHealthyStage3*C13,pStage2Stage3*I13,(1-SUM(pStage3Death, pStage3Stage2))*L13)*(1-'Life Table - Female'!B68)</f>
        <v>28.456343944982549</v>
      </c>
      <c r="M14" s="19">
        <f t="shared" si="7"/>
        <v>317955.51001704787</v>
      </c>
      <c r="N14" s="20">
        <f t="shared" si="8"/>
        <v>4.9337923968162603</v>
      </c>
      <c r="O14" s="27">
        <f>SUM(pStage1Remission*F13,pStage2Remission*I13,(1-SUM(pRemissionStage1_trtB, pRemissionStage2_trtB))*O13)*(1-'Life Table - Female'!B68)</f>
        <v>232.36009495866821</v>
      </c>
      <c r="P14" s="19">
        <f t="shared" si="9"/>
        <v>850500.17391529703</v>
      </c>
      <c r="Q14" s="20">
        <f t="shared" si="10"/>
        <v>106.31252173941211</v>
      </c>
      <c r="R14" s="27">
        <f>SUM(pStage3Death*L13*(1-'Life Table - Female'!B68),R13)</f>
        <v>111.52581569820646</v>
      </c>
      <c r="S14" s="19">
        <f t="shared" si="11"/>
        <v>0</v>
      </c>
      <c r="T14" s="23">
        <f t="shared" si="12"/>
        <v>0</v>
      </c>
      <c r="U14" s="13">
        <f>SUM(B13*'Life Table - Female'!B68,U13)</f>
        <v>78.787070378067455</v>
      </c>
      <c r="V14" s="49">
        <f t="shared" si="14"/>
        <v>0</v>
      </c>
      <c r="W14" s="54">
        <v>0.66666666666666663</v>
      </c>
      <c r="X14" s="13">
        <f t="shared" si="15"/>
        <v>1491161.6005787728</v>
      </c>
      <c r="Y14" s="25">
        <f t="shared" si="15"/>
        <v>359.52220817464814</v>
      </c>
    </row>
    <row r="15" spans="1:25" x14ac:dyDescent="0.2">
      <c r="A15" s="10">
        <v>12</v>
      </c>
      <c r="B15" s="15">
        <f t="shared" si="13"/>
        <v>787.61499680248266</v>
      </c>
      <c r="C15" s="27">
        <f>(1-SUM(pHealthyStage1,pHealthyStage2,pHealthyStage3))*C14*(1-'Life Table - Female'!B69)</f>
        <v>333.31602686048132</v>
      </c>
      <c r="D15" s="19">
        <f t="shared" si="2"/>
        <v>0</v>
      </c>
      <c r="E15" s="20">
        <f t="shared" si="1"/>
        <v>311.70820664773629</v>
      </c>
      <c r="F15" s="27">
        <f>SUM(pHealthyStage1*C14,(1-SUM(pStage1Remission,pStage1Stage2))*F14,pStage2Stage1*I14,pRemissionStage1_trtB*O14)*(1-'Life Table - Female'!B69)</f>
        <v>113.54287206506578</v>
      </c>
      <c r="G15" s="19">
        <f t="shared" si="3"/>
        <v>169891.59681229209</v>
      </c>
      <c r="H15" s="20">
        <f t="shared" si="4"/>
        <v>93.440378246760659</v>
      </c>
      <c r="I15" s="27">
        <f>SUM(pHealthyStage2*C14,pStage1Stage2*F14,(1-SUM(pStage2Remission, pStage2Stage1, pStage2Stage3))*I14,pStage3Stage2*L14,pRemissionStage2_trtB*O14)*(1-'Life Table - Female'!B69)</f>
        <v>66.94992400958381</v>
      </c>
      <c r="J15" s="19">
        <f t="shared" si="5"/>
        <v>450790.36493539723</v>
      </c>
      <c r="K15" s="20">
        <f t="shared" si="6"/>
        <v>44.452938764462786</v>
      </c>
      <c r="L15" s="27">
        <f>SUM(pHealthyStage3*C14,pStage2Stage3*I14,(1-SUM(pStage3Death, pStage3Stage2))*L14)*(1-'Life Table - Female'!B69)</f>
        <v>27.702450778191636</v>
      </c>
      <c r="M15" s="19">
        <f t="shared" si="7"/>
        <v>601032.86040312937</v>
      </c>
      <c r="N15" s="20">
        <f t="shared" si="8"/>
        <v>9.3263719717726978</v>
      </c>
      <c r="O15" s="27">
        <f>SUM(pStage1Remission*F14,pStage2Remission*I14,(1-SUM(pRemissionStage1_trtB, pRemissionStage2_trtB))*O14)*(1-'Life Table - Female'!B69)</f>
        <v>246.10372308916013</v>
      </c>
      <c r="P15" s="19">
        <f t="shared" si="9"/>
        <v>1749136.9581285738</v>
      </c>
      <c r="Q15" s="20">
        <f t="shared" si="10"/>
        <v>218.64211976607169</v>
      </c>
      <c r="R15" s="27">
        <f>SUM(pStage3Death*L14*(1-'Life Table - Female'!B69),R14)</f>
        <v>124.18225982504174</v>
      </c>
      <c r="S15" s="19">
        <f t="shared" si="11"/>
        <v>0</v>
      </c>
      <c r="T15" s="23">
        <f t="shared" si="12"/>
        <v>0</v>
      </c>
      <c r="U15" s="13">
        <f>SUM(B14*'Life Table - Female'!B69,U14)</f>
        <v>88.202743372475965</v>
      </c>
      <c r="V15" s="49">
        <f t="shared" si="14"/>
        <v>0</v>
      </c>
      <c r="W15" s="54">
        <v>1.3333333333333333</v>
      </c>
      <c r="X15" s="13">
        <f t="shared" si="15"/>
        <v>2970851.7802793924</v>
      </c>
      <c r="Y15" s="25">
        <f t="shared" si="15"/>
        <v>677.57001539680414</v>
      </c>
    </row>
    <row r="16" spans="1:25" x14ac:dyDescent="0.2">
      <c r="A16" s="10">
        <v>13</v>
      </c>
      <c r="B16" s="15">
        <f t="shared" si="13"/>
        <v>765.42600649763199</v>
      </c>
      <c r="C16" s="27">
        <f>(1-SUM(pHealthyStage1,pHealthyStage2,pHealthyStage3))*C15*(1-'Life Table - Female'!B70)</f>
        <v>302.80434732659563</v>
      </c>
      <c r="D16" s="19">
        <f t="shared" si="2"/>
        <v>0</v>
      </c>
      <c r="E16" s="20">
        <f t="shared" si="1"/>
        <v>137.46335071186996</v>
      </c>
      <c r="F16" s="27">
        <f>SUM(pHealthyStage1*C15,(1-SUM(pStage1Remission,pStage1Stage2))*F15,pStage2Stage1*I15,pRemissionStage1_trtB*O15)*(1-'Life Table - Female'!B70)</f>
        <v>112.08074722733032</v>
      </c>
      <c r="G16" s="19">
        <f t="shared" si="3"/>
        <v>81409.637346013056</v>
      </c>
      <c r="H16" s="20">
        <f t="shared" si="4"/>
        <v>44.775300540307171</v>
      </c>
      <c r="I16" s="27">
        <f>SUM(pHealthyStage2*C15,pStage1Stage2*F15,(1-SUM(pStage2Remission, pStage2Stage1, pStage2Stage3))*I15,pStage3Stage2*L15,pRemissionStage2_trtB*O15)*(1-'Life Table - Female'!B70)</f>
        <v>66.118915364136441</v>
      </c>
      <c r="J16" s="19">
        <f t="shared" si="5"/>
        <v>216114.06727730026</v>
      </c>
      <c r="K16" s="20">
        <f t="shared" si="6"/>
        <v>21.311248300955999</v>
      </c>
      <c r="L16" s="27">
        <f>SUM(pHealthyStage3*C15,pStage2Stage3*I15,(1-SUM(pStage3Death, pStage3Stage2))*L15)*(1-'Life Table - Female'!B70)</f>
        <v>26.885360730280357</v>
      </c>
      <c r="M16" s="19">
        <f t="shared" si="7"/>
        <v>283157.8933594916</v>
      </c>
      <c r="N16" s="20">
        <f t="shared" si="8"/>
        <v>4.3938293797162489</v>
      </c>
      <c r="O16" s="27">
        <f>SUM(pStage1Remission*F15,pStage2Remission*I15,(1-SUM(pRemissionStage1_trtB, pRemissionStage2_trtB))*O15)*(1-'Life Table - Female'!B70)</f>
        <v>257.53663584928927</v>
      </c>
      <c r="P16" s="19">
        <f t="shared" si="9"/>
        <v>888540.914213137</v>
      </c>
      <c r="Q16" s="20">
        <f t="shared" si="10"/>
        <v>111.06761427664212</v>
      </c>
      <c r="R16" s="27">
        <f>SUM(pStage3Death*L15*(1-'Life Table - Female'!B70),R15)</f>
        <v>136.49199721311317</v>
      </c>
      <c r="S16" s="19">
        <f t="shared" si="11"/>
        <v>0</v>
      </c>
      <c r="T16" s="23">
        <f t="shared" si="12"/>
        <v>0</v>
      </c>
      <c r="U16" s="13">
        <f>SUM(B15*'Life Table - Female'!B70,U15)</f>
        <v>98.081996289255159</v>
      </c>
      <c r="V16" s="49">
        <f t="shared" si="14"/>
        <v>0</v>
      </c>
      <c r="W16" s="54">
        <v>0.66666666666666663</v>
      </c>
      <c r="X16" s="13">
        <f t="shared" si="15"/>
        <v>1469222.512195942</v>
      </c>
      <c r="Y16" s="25">
        <f t="shared" si="15"/>
        <v>319.01134320949149</v>
      </c>
    </row>
    <row r="17" spans="1:25" x14ac:dyDescent="0.2">
      <c r="A17" s="10">
        <v>14</v>
      </c>
      <c r="B17" s="15">
        <f t="shared" si="13"/>
        <v>743.04962066317808</v>
      </c>
      <c r="C17" s="27">
        <f>(1-SUM(pHealthyStage1,pHealthyStage2,pHealthyStage3))*C16*(1-'Life Table - Female'!B71)</f>
        <v>274.77921237072559</v>
      </c>
      <c r="D17" s="19">
        <f t="shared" si="2"/>
        <v>0</v>
      </c>
      <c r="E17" s="20">
        <f t="shared" si="1"/>
        <v>242.21523995613663</v>
      </c>
      <c r="F17" s="27">
        <f>SUM(pHealthyStage1*C16,(1-SUM(pStage1Remission,pStage1Stage2))*F16,pStage2Stage1*I16,pRemissionStage1_trtB*O16)*(1-'Life Table - Female'!B71)</f>
        <v>110.37485815131713</v>
      </c>
      <c r="G17" s="19">
        <f t="shared" si="3"/>
        <v>155671.00594888561</v>
      </c>
      <c r="H17" s="20">
        <f t="shared" si="4"/>
        <v>85.619053271887083</v>
      </c>
      <c r="I17" s="27">
        <f>SUM(pHealthyStage2*C16,pStage1Stage2*F16,(1-SUM(pStage2Remission, pStage2Stage1, pStage2Stage3))*I16,pStage3Stage2*L16,pRemissionStage2_trtB*O16)*(1-'Life Table - Female'!B71)</f>
        <v>65.105331317842655</v>
      </c>
      <c r="J17" s="19">
        <f t="shared" si="5"/>
        <v>413206.0203642851</v>
      </c>
      <c r="K17" s="20">
        <f t="shared" si="6"/>
        <v>40.74670478592256</v>
      </c>
      <c r="L17" s="27">
        <f>SUM(pHealthyStage3*C16,pStage2Stage3*I16,(1-SUM(pStage3Death, pStage3Stage2))*L16)*(1-'Life Table - Female'!B71)</f>
        <v>26.028530613965561</v>
      </c>
      <c r="M17" s="19">
        <f t="shared" si="7"/>
        <v>532298.48149060516</v>
      </c>
      <c r="N17" s="20">
        <f t="shared" si="8"/>
        <v>8.25980402313008</v>
      </c>
      <c r="O17" s="27">
        <f>SUM(pStage1Remission*F16,pStage2Remission*I16,(1-SUM(pRemissionStage1_trtB, pRemissionStage2_trtB))*O16)*(1-'Life Table - Female'!B71)</f>
        <v>266.76168820932708</v>
      </c>
      <c r="P17" s="19">
        <f t="shared" si="9"/>
        <v>1787123.8067855989</v>
      </c>
      <c r="Q17" s="20">
        <f t="shared" si="10"/>
        <v>223.39047584819983</v>
      </c>
      <c r="R17" s="27">
        <f>SUM(pStage3Death*L16*(1-'Life Table - Female'!B71),R16)</f>
        <v>148.42534568062672</v>
      </c>
      <c r="S17" s="19">
        <f t="shared" si="11"/>
        <v>0</v>
      </c>
      <c r="T17" s="23">
        <f t="shared" si="12"/>
        <v>0</v>
      </c>
      <c r="U17" s="13">
        <f>SUM(B16*'Life Table - Female'!B71,U16)</f>
        <v>108.52503365619566</v>
      </c>
      <c r="V17" s="49">
        <f t="shared" si="14"/>
        <v>0</v>
      </c>
      <c r="W17" s="54">
        <v>1.3333333333333333</v>
      </c>
      <c r="X17" s="13">
        <f t="shared" si="15"/>
        <v>2888299.3145893747</v>
      </c>
      <c r="Y17" s="25">
        <f t="shared" si="15"/>
        <v>600.2312778852762</v>
      </c>
    </row>
    <row r="18" spans="1:25" x14ac:dyDescent="0.2">
      <c r="A18" s="10">
        <v>15</v>
      </c>
      <c r="B18" s="15">
        <f t="shared" si="13"/>
        <v>720.45704664297295</v>
      </c>
      <c r="C18" s="27">
        <f>(1-SUM(pHealthyStage1,pHealthyStage2,pHealthyStage3))*C17*(1-'Life Table - Female'!B72)</f>
        <v>249.03614141724276</v>
      </c>
      <c r="D18" s="19">
        <f t="shared" si="2"/>
        <v>0</v>
      </c>
      <c r="E18" s="20">
        <f t="shared" si="1"/>
        <v>106.56454846815721</v>
      </c>
      <c r="F18" s="27">
        <f>SUM(pHealthyStage1*C17,(1-SUM(pStage1Remission,pStage1Stage2))*F17,pStage2Stage1*I17,pRemissionStage1_trtB*O17)*(1-'Life Table - Female'!B72)</f>
        <v>108.4412319301192</v>
      </c>
      <c r="G18" s="19">
        <f t="shared" si="3"/>
        <v>74244.586991749791</v>
      </c>
      <c r="H18" s="20">
        <f t="shared" si="4"/>
        <v>40.834522845462388</v>
      </c>
      <c r="I18" s="27">
        <f>SUM(pHealthyStage2*C17,pStage1Stage2*F17,(1-SUM(pStage2Remission, pStage2Stage1, pStage2Stage3))*I17,pStage3Stage2*L17,pRemissionStage2_trtB*O17)*(1-'Life Table - Female'!B72)</f>
        <v>63.935052737012803</v>
      </c>
      <c r="J18" s="19">
        <f t="shared" si="5"/>
        <v>196979.89179211622</v>
      </c>
      <c r="K18" s="20">
        <f t="shared" si="6"/>
        <v>19.424405996167017</v>
      </c>
      <c r="L18" s="27">
        <f>SUM(pHealthyStage3*C17,pStage2Stage3*I17,(1-SUM(pStage3Death, pStage3Stage2))*L17)*(1-'Life Table - Female'!B72)</f>
        <v>25.148091835850067</v>
      </c>
      <c r="M18" s="19">
        <f t="shared" si="7"/>
        <v>249656.79614561942</v>
      </c>
      <c r="N18" s="20">
        <f t="shared" si="8"/>
        <v>3.8739847677768529</v>
      </c>
      <c r="O18" s="27">
        <f>SUM(pStage1Remission*F17,pStage2Remission*I17,(1-SUM(pRemissionStage1_trtB, pRemissionStage2_trtB))*O17)*(1-'Life Table - Female'!B72)</f>
        <v>273.8965287227482</v>
      </c>
      <c r="P18" s="19">
        <f t="shared" si="9"/>
        <v>890739.04717666644</v>
      </c>
      <c r="Q18" s="20">
        <f t="shared" si="10"/>
        <v>111.3423808970833</v>
      </c>
      <c r="R18" s="27">
        <f>SUM(pStage3Death*L17*(1-'Life Table - Female'!B72),R17)</f>
        <v>159.96393835306844</v>
      </c>
      <c r="S18" s="19">
        <f t="shared" si="11"/>
        <v>0</v>
      </c>
      <c r="T18" s="23">
        <f t="shared" si="12"/>
        <v>0</v>
      </c>
      <c r="U18" s="13">
        <f>SUM(B17*'Life Table - Female'!B72,U17)</f>
        <v>119.57901500395892</v>
      </c>
      <c r="V18" s="49">
        <f t="shared" si="14"/>
        <v>0</v>
      </c>
      <c r="W18" s="54">
        <v>0.66666666666666663</v>
      </c>
      <c r="X18" s="13">
        <f t="shared" si="15"/>
        <v>1411620.3221061518</v>
      </c>
      <c r="Y18" s="25">
        <f t="shared" si="15"/>
        <v>282.03984297464677</v>
      </c>
    </row>
    <row r="19" spans="1:25" x14ac:dyDescent="0.2">
      <c r="A19" s="10">
        <v>16</v>
      </c>
      <c r="B19" s="15">
        <f t="shared" si="13"/>
        <v>697.55660288806632</v>
      </c>
      <c r="C19" s="27">
        <f>(1-SUM(pHealthyStage1,pHealthyStage2,pHealthyStage3))*C18*(1-'Life Table - Female'!B73)</f>
        <v>225.37068713168057</v>
      </c>
      <c r="D19" s="19">
        <f t="shared" si="2"/>
        <v>0</v>
      </c>
      <c r="E19" s="20">
        <f t="shared" si="1"/>
        <v>187.25808171971116</v>
      </c>
      <c r="F19" s="27">
        <f>SUM(pHealthyStage1*C18,(1-SUM(pStage1Remission,pStage1Stage2))*F18,pStage2Stage1*I18,pRemissionStage1_trtB*O18)*(1-'Life Table - Female'!B73)</f>
        <v>106.28213459143353</v>
      </c>
      <c r="G19" s="19">
        <f t="shared" si="3"/>
        <v>141293.89334853092</v>
      </c>
      <c r="H19" s="20">
        <f t="shared" si="4"/>
        <v>77.711641341692001</v>
      </c>
      <c r="I19" s="27">
        <f>SUM(pHealthyStage2*C18,pStage1Stage2*F18,(1-SUM(pStage2Remission, pStage2Stage1, pStage2Stage3))*I18,pStage3Stage2*L18,pRemissionStage2_trtB*O18)*(1-'Life Table - Female'!B73)</f>
        <v>62.620289654388792</v>
      </c>
      <c r="J19" s="19">
        <f t="shared" si="5"/>
        <v>374619.78467522358</v>
      </c>
      <c r="K19" s="20">
        <f t="shared" si="6"/>
        <v>36.941673211028991</v>
      </c>
      <c r="L19" s="27">
        <f>SUM(pHealthyStage3*C18,pStage2Stage3*I18,(1-SUM(pStage3Death, pStage3Stage2))*L18)*(1-'Life Table - Female'!B73)</f>
        <v>24.251931497713755</v>
      </c>
      <c r="M19" s="19">
        <f t="shared" si="7"/>
        <v>467495.52610835072</v>
      </c>
      <c r="N19" s="20">
        <f t="shared" si="8"/>
        <v>7.2542409223709594</v>
      </c>
      <c r="O19" s="27">
        <f>SUM(pStage1Remission*F18,pStage2Remission*I18,(1-SUM(pRemissionStage1_trtB, pRemissionStage2_trtB))*O18)*(1-'Life Table - Female'!B73)</f>
        <v>279.03156001284964</v>
      </c>
      <c r="P19" s="19">
        <f t="shared" si="9"/>
        <v>1762016.8644167476</v>
      </c>
      <c r="Q19" s="20">
        <f t="shared" si="10"/>
        <v>220.25210805209346</v>
      </c>
      <c r="R19" s="27">
        <f>SUM(pStage3Death*L18*(1-'Life Table - Female'!B73),R18)</f>
        <v>171.09572244035749</v>
      </c>
      <c r="S19" s="19">
        <f t="shared" si="11"/>
        <v>0</v>
      </c>
      <c r="T19" s="23">
        <f t="shared" si="12"/>
        <v>0</v>
      </c>
      <c r="U19" s="13">
        <f>SUM(B18*'Life Table - Female'!B73,U18)</f>
        <v>131.34767467157664</v>
      </c>
      <c r="V19" s="49">
        <f t="shared" si="14"/>
        <v>0</v>
      </c>
      <c r="W19" s="54">
        <v>1.3333333333333333</v>
      </c>
      <c r="X19" s="13">
        <f t="shared" si="15"/>
        <v>2745426.0685488526</v>
      </c>
      <c r="Y19" s="25">
        <f t="shared" si="15"/>
        <v>529.41774524689663</v>
      </c>
    </row>
    <row r="20" spans="1:25" x14ac:dyDescent="0.2">
      <c r="A20" s="10">
        <v>17</v>
      </c>
      <c r="B20" s="15">
        <f t="shared" si="13"/>
        <v>674.36578380182755</v>
      </c>
      <c r="C20" s="27">
        <f>(1-SUM(pHealthyStage1,pHealthyStage2,pHealthyStage3))*C19*(1-'Life Table - Female'!B74)</f>
        <v>203.63369331015807</v>
      </c>
      <c r="D20" s="19">
        <f t="shared" si="2"/>
        <v>0</v>
      </c>
      <c r="E20" s="20">
        <f t="shared" si="1"/>
        <v>82.134488920503998</v>
      </c>
      <c r="F20" s="27">
        <f>SUM(pHealthyStage1*C19,(1-SUM(pStage1Remission,pStage1Stage2))*F19,pStage2Stage1*I19,pRemissionStage1_trtB*O19)*(1-'Life Table - Female'!B74)</f>
        <v>103.91361804582226</v>
      </c>
      <c r="G20" s="19">
        <f t="shared" si="3"/>
        <v>67060.744389284766</v>
      </c>
      <c r="H20" s="20">
        <f t="shared" si="4"/>
        <v>36.883409414106616</v>
      </c>
      <c r="I20" s="27">
        <f>SUM(pHealthyStage2*C19,pStage1Stage2*F19,(1-SUM(pStage2Remission, pStage2Stage1, pStage2Stage3))*I19,pStage3Stage2*L19,pRemissionStage2_trtB*O19)*(1-'Life Table - Female'!B74)</f>
        <v>61.177550738700965</v>
      </c>
      <c r="J20" s="19">
        <f t="shared" si="5"/>
        <v>177664.43670440165</v>
      </c>
      <c r="K20" s="20">
        <f t="shared" si="6"/>
        <v>17.519687508350721</v>
      </c>
      <c r="L20" s="27">
        <f>SUM(pHealthyStage3*C19,pStage2Stage3*I19,(1-SUM(pStage3Death, pStage3Stage2))*L19)*(1-'Life Table - Female'!B74)</f>
        <v>23.347650595497189</v>
      </c>
      <c r="M20" s="19">
        <f t="shared" si="7"/>
        <v>218477.68793668514</v>
      </c>
      <c r="N20" s="20">
        <f t="shared" si="8"/>
        <v>3.3901710197071835</v>
      </c>
      <c r="O20" s="27">
        <f>SUM(pStage1Remission*F19,pStage2Remission*I19,(1-SUM(pRemissionStage1_trtB, pRemissionStage2_trtB))*O19)*(1-'Life Table - Female'!B74)</f>
        <v>282.29327111164901</v>
      </c>
      <c r="P20" s="19">
        <f t="shared" si="9"/>
        <v>865346.49597424571</v>
      </c>
      <c r="Q20" s="20">
        <f t="shared" si="10"/>
        <v>108.16831199678072</v>
      </c>
      <c r="R20" s="27">
        <f>SUM(pStage3Death*L19*(1-'Life Table - Female'!B74),R19)</f>
        <v>181.81395629975961</v>
      </c>
      <c r="S20" s="19">
        <f t="shared" si="11"/>
        <v>0</v>
      </c>
      <c r="T20" s="23">
        <f t="shared" si="12"/>
        <v>0</v>
      </c>
      <c r="U20" s="13">
        <f>SUM(B19*'Life Table - Female'!B74,U19)</f>
        <v>143.8202598984133</v>
      </c>
      <c r="V20" s="49">
        <f t="shared" si="14"/>
        <v>0</v>
      </c>
      <c r="W20" s="54">
        <v>0.66666666666666663</v>
      </c>
      <c r="X20" s="13">
        <f t="shared" si="15"/>
        <v>1328549.3650046173</v>
      </c>
      <c r="Y20" s="25">
        <f t="shared" si="15"/>
        <v>248.09606885944925</v>
      </c>
    </row>
    <row r="21" spans="1:25" x14ac:dyDescent="0.2">
      <c r="A21" s="10">
        <v>18</v>
      </c>
      <c r="B21" s="15">
        <f t="shared" si="13"/>
        <v>650.83718184007409</v>
      </c>
      <c r="C21" s="27">
        <f>(1-SUM(pHealthyStage1,pHealthyStage2,pHealthyStage3))*C20*(1-'Life Table - Female'!B75)</f>
        <v>183.66810741150334</v>
      </c>
      <c r="D21" s="19">
        <f t="shared" si="2"/>
        <v>0</v>
      </c>
      <c r="E21" s="20">
        <f t="shared" si="1"/>
        <v>143.84754117947369</v>
      </c>
      <c r="F21" s="27">
        <f>SUM(pHealthyStage1*C20,(1-SUM(pStage1Remission,pStage1Stage2))*F20,pStage2Stage1*I20,pRemissionStage1_trtB*O20)*(1-'Life Table - Female'!B75)</f>
        <v>101.34022782190527</v>
      </c>
      <c r="G21" s="19">
        <f t="shared" si="3"/>
        <v>126990.30049534453</v>
      </c>
      <c r="H21" s="20">
        <f t="shared" si="4"/>
        <v>69.844665272439485</v>
      </c>
      <c r="I21" s="27">
        <f>SUM(pHealthyStage2*C20,pStage1Stage2*F20,(1-SUM(pStage2Remission, pStage2Stage1, pStage2Stage3))*I20,pStage3Stage2*L20,pRemissionStage2_trtB*O20)*(1-'Life Table - Female'!B75)</f>
        <v>59.613971308528043</v>
      </c>
      <c r="J21" s="19">
        <f t="shared" si="5"/>
        <v>336162.48273812322</v>
      </c>
      <c r="K21" s="20">
        <f t="shared" si="6"/>
        <v>33.149355936676031</v>
      </c>
      <c r="L21" s="27">
        <f>SUM(pHealthyStage3*C20,pStage2Stage3*I20,(1-SUM(pStage3Death, pStage3Stage2))*L20)*(1-'Life Table - Female'!B75)</f>
        <v>22.437851116017193</v>
      </c>
      <c r="M21" s="19">
        <f t="shared" si="7"/>
        <v>407697.39712994051</v>
      </c>
      <c r="N21" s="20">
        <f t="shared" si="8"/>
        <v>6.3263389209818346</v>
      </c>
      <c r="O21" s="27">
        <f>SUM(pStage1Remission*F20,pStage2Remission*I20,(1-SUM(pRemissionStage1_trtB, pRemissionStage2_trtB))*O20)*(1-'Life Table - Female'!B75)</f>
        <v>283.77702418212021</v>
      </c>
      <c r="P21" s="19">
        <f t="shared" si="9"/>
        <v>1689116.1502023914</v>
      </c>
      <c r="Q21" s="20">
        <f t="shared" si="10"/>
        <v>211.13951877529897</v>
      </c>
      <c r="R21" s="27">
        <f>SUM(pStage3Death*L20*(1-'Life Table - Female'!B75),R20)</f>
        <v>192.11430635828705</v>
      </c>
      <c r="S21" s="19">
        <f t="shared" si="11"/>
        <v>0</v>
      </c>
      <c r="T21" s="23">
        <f t="shared" si="12"/>
        <v>0</v>
      </c>
      <c r="U21" s="13">
        <f>SUM(B20*'Life Table - Female'!B75,U20)</f>
        <v>157.04851180163925</v>
      </c>
      <c r="V21" s="49">
        <f t="shared" si="14"/>
        <v>0</v>
      </c>
      <c r="W21" s="54">
        <v>1.3333333333333333</v>
      </c>
      <c r="X21" s="13">
        <f t="shared" si="15"/>
        <v>2559966.3305658</v>
      </c>
      <c r="Y21" s="25">
        <f t="shared" si="15"/>
        <v>464.30742008487005</v>
      </c>
    </row>
    <row r="22" spans="1:25" x14ac:dyDescent="0.2">
      <c r="A22" s="10">
        <v>19</v>
      </c>
      <c r="B22" s="15">
        <f t="shared" si="13"/>
        <v>627.11561479715328</v>
      </c>
      <c r="C22" s="27">
        <f>(1-SUM(pHealthyStage1,pHealthyStage2,pHealthyStage3))*C21*(1-'Life Table - Female'!B76)</f>
        <v>165.3816250508892</v>
      </c>
      <c r="D22" s="19">
        <f t="shared" si="2"/>
        <v>0</v>
      </c>
      <c r="E22" s="20">
        <f t="shared" si="1"/>
        <v>62.876553238647418</v>
      </c>
      <c r="F22" s="27">
        <f>SUM(pHealthyStage1*C21,(1-SUM(pStage1Remission,pStage1Stage2))*F21,pStage2Stage1*I21,pRemissionStage1_trtB*O21)*(1-'Life Table - Female'!B76)</f>
        <v>98.595359444740197</v>
      </c>
      <c r="G22" s="19">
        <f t="shared" si="3"/>
        <v>59976.059519823451</v>
      </c>
      <c r="H22" s="20">
        <f t="shared" si="4"/>
        <v>32.986832735902901</v>
      </c>
      <c r="I22" s="27">
        <f>SUM(pHealthyStage2*C21,pStage1Stage2*F21,(1-SUM(pStage2Remission, pStage2Stage1, pStage2Stage3))*I21,pStage3Stage2*L21,pRemissionStage2_trtB*O21)*(1-'Life Table - Female'!B76)</f>
        <v>57.951924109553161</v>
      </c>
      <c r="J22" s="19">
        <f t="shared" si="5"/>
        <v>158636.02822340772</v>
      </c>
      <c r="K22" s="20">
        <f t="shared" si="6"/>
        <v>15.643275005363817</v>
      </c>
      <c r="L22" s="27">
        <f>SUM(pHealthyStage3*C21,pStage2Stage3*I21,(1-SUM(pStage3Death, pStage3Stage2))*L21)*(1-'Life Table - Female'!B76)</f>
        <v>21.529948833114005</v>
      </c>
      <c r="M22" s="19">
        <f t="shared" si="7"/>
        <v>189903.27485200969</v>
      </c>
      <c r="N22" s="20">
        <f t="shared" si="8"/>
        <v>2.94677495460015</v>
      </c>
      <c r="O22" s="27">
        <f>SUM(pStage1Remission*F21,pStage2Remission*I21,(1-SUM(pRemissionStage1_trtB, pRemissionStage2_trtB))*O21)*(1-'Life Table - Female'!B76)</f>
        <v>283.65675735885674</v>
      </c>
      <c r="P22" s="19">
        <f t="shared" si="9"/>
        <v>819611.79133818578</v>
      </c>
      <c r="Q22" s="20">
        <f t="shared" si="10"/>
        <v>102.45147391727322</v>
      </c>
      <c r="R22" s="27">
        <f>SUM(pStage3Death*L21*(1-'Life Table - Female'!B76),R21)</f>
        <v>201.9966386427416</v>
      </c>
      <c r="S22" s="19">
        <f t="shared" si="11"/>
        <v>0</v>
      </c>
      <c r="T22" s="23">
        <f t="shared" si="12"/>
        <v>0</v>
      </c>
      <c r="U22" s="13">
        <f>SUM(B21*'Life Table - Female'!B76,U21)</f>
        <v>170.88774656010554</v>
      </c>
      <c r="V22" s="49">
        <f t="shared" si="14"/>
        <v>0</v>
      </c>
      <c r="W22" s="54">
        <v>0.66666666666666663</v>
      </c>
      <c r="X22" s="13">
        <f t="shared" si="15"/>
        <v>1228127.1539334266</v>
      </c>
      <c r="Y22" s="25">
        <f t="shared" si="15"/>
        <v>216.90490985178749</v>
      </c>
    </row>
    <row r="23" spans="1:25" x14ac:dyDescent="0.2">
      <c r="A23" s="10">
        <v>20</v>
      </c>
      <c r="B23" s="15">
        <f t="shared" si="13"/>
        <v>602.61268133167346</v>
      </c>
      <c r="C23" s="27">
        <f>(1-SUM(pHealthyStage1,pHealthyStage2,pHealthyStage3))*C22*(1-'Life Table - Female'!B77)</f>
        <v>148.50040391342336</v>
      </c>
      <c r="D23" s="19">
        <f t="shared" si="2"/>
        <v>0</v>
      </c>
      <c r="E23" s="20">
        <f t="shared" si="1"/>
        <v>109.62809751165339</v>
      </c>
      <c r="F23" s="27">
        <f>SUM(pHealthyStage1*C22,(1-SUM(pStage1Remission,pStage1Stage2))*F22,pStage2Stage1*I22,pRemissionStage1_trtB*O22)*(1-'Life Table - Female'!B77)</f>
        <v>95.596094840152503</v>
      </c>
      <c r="G23" s="19">
        <f t="shared" si="3"/>
        <v>112915.71180349833</v>
      </c>
      <c r="H23" s="20">
        <f t="shared" si="4"/>
        <v>62.103641491924073</v>
      </c>
      <c r="I23" s="27">
        <f>SUM(pHealthyStage2*C22,pStage1Stage2*F22,(1-SUM(pStage2Remission, pStage2Stage1, pStage2Stage3))*I22,pStage3Stage2*L22,pRemissionStage2_trtB*O22)*(1-'Life Table - Female'!B77)</f>
        <v>56.1442880758418</v>
      </c>
      <c r="J23" s="19">
        <f t="shared" si="5"/>
        <v>298423.018019007</v>
      </c>
      <c r="K23" s="20">
        <f t="shared" si="6"/>
        <v>29.427825387985411</v>
      </c>
      <c r="L23" s="27">
        <f>SUM(pHealthyStage3*C22,pStage2Stage3*I22,(1-SUM(pStage3Death, pStage3Stage2))*L22)*(1-'Life Table - Female'!B77)</f>
        <v>20.605031136221239</v>
      </c>
      <c r="M23" s="19">
        <f t="shared" si="7"/>
        <v>352903.12370882777</v>
      </c>
      <c r="N23" s="20">
        <f t="shared" si="8"/>
        <v>5.4760829541025</v>
      </c>
      <c r="O23" s="27">
        <f>SUM(pStage1Remission*F22,pStage2Remission*I22,(1-SUM(pRemissionStage1_trtB, pRemissionStage2_trtB))*O22)*(1-'Life Table - Female'!B77)</f>
        <v>281.76686336603461</v>
      </c>
      <c r="P23" s="19">
        <f t="shared" si="9"/>
        <v>1580875.803199593</v>
      </c>
      <c r="Q23" s="20">
        <f t="shared" si="10"/>
        <v>197.60947539994913</v>
      </c>
      <c r="R23" s="27">
        <f>SUM(pStage3Death*L22*(1-'Life Table - Female'!B77),R22)</f>
        <v>211.45265171735031</v>
      </c>
      <c r="S23" s="19">
        <f t="shared" si="11"/>
        <v>0</v>
      </c>
      <c r="T23" s="23">
        <f t="shared" si="12"/>
        <v>0</v>
      </c>
      <c r="U23" s="13">
        <f>SUM(B22*'Life Table - Female'!B77,U22)</f>
        <v>185.93466695097661</v>
      </c>
      <c r="V23" s="49">
        <f t="shared" si="14"/>
        <v>0</v>
      </c>
      <c r="W23" s="54">
        <v>1.3333333333333333</v>
      </c>
      <c r="X23" s="13">
        <f t="shared" si="15"/>
        <v>2345117.6567309261</v>
      </c>
      <c r="Y23" s="25">
        <f t="shared" si="15"/>
        <v>404.24512274561454</v>
      </c>
    </row>
    <row r="24" spans="1:25" x14ac:dyDescent="0.2">
      <c r="A24" s="10">
        <v>21</v>
      </c>
      <c r="B24" s="15">
        <f t="shared" si="13"/>
        <v>577.67033287478148</v>
      </c>
      <c r="C24" s="27">
        <f>(1-SUM(pHealthyStage1,pHealthyStage2,pHealthyStage3))*C23*(1-'Life Table - Female'!B78)</f>
        <v>133.01223587004787</v>
      </c>
      <c r="D24" s="19">
        <f t="shared" si="2"/>
        <v>0</v>
      </c>
      <c r="E24" s="20">
        <f t="shared" si="1"/>
        <v>47.667087385993163</v>
      </c>
      <c r="F24" s="27">
        <f>SUM(pHealthyStage1*C23,(1-SUM(pStage1Remission,pStage1Stage2))*F23,pStage2Stage1*I23,pRemissionStage1_trtB*O23)*(1-'Life Table - Female'!B78)</f>
        <v>92.404450362794151</v>
      </c>
      <c r="G24" s="19">
        <f t="shared" si="3"/>
        <v>52983.408408847958</v>
      </c>
      <c r="H24" s="20">
        <f t="shared" si="4"/>
        <v>29.140874624866374</v>
      </c>
      <c r="I24" s="27">
        <f>SUM(pHealthyStage2*C23,pStage1Stage2*F23,(1-SUM(pStage2Remission, pStage2Stage1, pStage2Stage3))*I23,pStage3Stage2*L23,pRemissionStage2_trtB*O23)*(1-'Life Table - Female'!B78)</f>
        <v>54.228428824659474</v>
      </c>
      <c r="J24" s="19">
        <f t="shared" si="5"/>
        <v>139922.17271223295</v>
      </c>
      <c r="K24" s="20">
        <f t="shared" si="6"/>
        <v>13.797880920234082</v>
      </c>
      <c r="L24" s="27">
        <f>SUM(pHealthyStage3*C23,pStage2Stage3*I23,(1-SUM(pStage3Death, pStage3Stage2))*L23)*(1-'Life Table - Female'!B78)</f>
        <v>19.675440053917686</v>
      </c>
      <c r="M24" s="19">
        <f t="shared" si="7"/>
        <v>163583.48697124975</v>
      </c>
      <c r="N24" s="20">
        <f t="shared" si="8"/>
        <v>2.538364453002151</v>
      </c>
      <c r="O24" s="27">
        <f>SUM(pStage1Remission*F23,pStage2Remission*I23,(1-SUM(pRemissionStage1_trtB, pRemissionStage2_trtB))*O23)*(1-'Life Table - Female'!B78)</f>
        <v>278.34977776336223</v>
      </c>
      <c r="P24" s="19">
        <f t="shared" si="9"/>
        <v>758108.72219646291</v>
      </c>
      <c r="Q24" s="20">
        <f t="shared" si="10"/>
        <v>94.763590274557856</v>
      </c>
      <c r="R24" s="27">
        <f>SUM(pStage3Death*L23*(1-'Life Table - Female'!B78),R23)</f>
        <v>220.48003579831396</v>
      </c>
      <c r="S24" s="19">
        <f t="shared" si="11"/>
        <v>0</v>
      </c>
      <c r="T24" s="23">
        <f t="shared" si="12"/>
        <v>0</v>
      </c>
      <c r="U24" s="13">
        <f>SUM(B23*'Life Table - Female'!B78,U23)</f>
        <v>201.8496313269051</v>
      </c>
      <c r="V24" s="49">
        <f t="shared" si="14"/>
        <v>0</v>
      </c>
      <c r="W24" s="54">
        <v>0.66666666666666663</v>
      </c>
      <c r="X24" s="13">
        <f t="shared" si="15"/>
        <v>1114597.7902887936</v>
      </c>
      <c r="Y24" s="25">
        <f t="shared" si="15"/>
        <v>187.90779765865364</v>
      </c>
    </row>
    <row r="25" spans="1:25" x14ac:dyDescent="0.2">
      <c r="A25" s="10">
        <v>22</v>
      </c>
      <c r="B25" s="15">
        <f t="shared" si="13"/>
        <v>552.07173996921165</v>
      </c>
      <c r="C25" s="27">
        <f>(1-SUM(pHealthyStage1,pHealthyStage2,pHealthyStage3))*C24*(1-'Life Table - Female'!B79)</f>
        <v>118.76892890876988</v>
      </c>
      <c r="D25" s="19">
        <f t="shared" si="2"/>
        <v>0</v>
      </c>
      <c r="E25" s="20">
        <f t="shared" si="1"/>
        <v>82.646151113791902</v>
      </c>
      <c r="F25" s="27">
        <f>SUM(pHealthyStage1*C24,(1-SUM(pStage1Remission,pStage1Stage2))*F24,pStage2Stage1*I24,pRemissionStage1_trtB*O24)*(1-'Life Table - Female'!B79)</f>
        <v>88.993680063361822</v>
      </c>
      <c r="G25" s="19">
        <f t="shared" si="3"/>
        <v>99082.953068826857</v>
      </c>
      <c r="H25" s="20">
        <f t="shared" si="4"/>
        <v>54.495624187854773</v>
      </c>
      <c r="I25" s="27">
        <f>SUM(pHealthyStage2*C24,pStage1Stage2*F24,(1-SUM(pStage2Remission, pStage2Stage1, pStage2Stage3))*I24,pStage3Stage2*L24,pRemissionStage2_trtB*O24)*(1-'Life Table - Female'!B79)</f>
        <v>52.189088129594538</v>
      </c>
      <c r="J25" s="19">
        <f t="shared" si="5"/>
        <v>261476.0997382632</v>
      </c>
      <c r="K25" s="20">
        <f t="shared" si="6"/>
        <v>25.78444872418984</v>
      </c>
      <c r="L25" s="27">
        <f>SUM(pHealthyStage3*C24,pStage2Stage3*I24,(1-SUM(pStage3Death, pStage3Stage2))*L24)*(1-'Life Table - Female'!B79)</f>
        <v>18.733897123774256</v>
      </c>
      <c r="M25" s="19">
        <f t="shared" si="7"/>
        <v>302437.6876958987</v>
      </c>
      <c r="N25" s="20">
        <f t="shared" si="8"/>
        <v>4.6929986021777381</v>
      </c>
      <c r="O25" s="27">
        <f>SUM(pStage1Remission*F24,pStage2Remission*I24,(1-SUM(pRemissionStage1_trtB, pRemissionStage2_trtB))*O24)*(1-'Life Table - Female'!B79)</f>
        <v>273.38614574371115</v>
      </c>
      <c r="P25" s="19">
        <f t="shared" si="9"/>
        <v>1445805.5503295423</v>
      </c>
      <c r="Q25" s="20">
        <f t="shared" si="10"/>
        <v>180.72569379119278</v>
      </c>
      <c r="R25" s="27">
        <f>SUM(pStage3Death*L24*(1-'Life Table - Female'!B79),R24)</f>
        <v>229.07334397567308</v>
      </c>
      <c r="S25" s="19">
        <f t="shared" si="11"/>
        <v>0</v>
      </c>
      <c r="T25" s="23">
        <f t="shared" si="12"/>
        <v>0</v>
      </c>
      <c r="U25" s="13">
        <f>SUM(B24*'Life Table - Female'!B79,U24)</f>
        <v>218.85491605511575</v>
      </c>
      <c r="V25" s="49">
        <f t="shared" si="14"/>
        <v>0</v>
      </c>
      <c r="W25" s="54">
        <v>1.3333333333333333</v>
      </c>
      <c r="X25" s="13">
        <f t="shared" si="15"/>
        <v>2108802.2908325307</v>
      </c>
      <c r="Y25" s="25">
        <f t="shared" si="15"/>
        <v>348.34491641920704</v>
      </c>
    </row>
    <row r="26" spans="1:25" x14ac:dyDescent="0.2">
      <c r="A26" s="10">
        <v>23</v>
      </c>
      <c r="B26" s="15">
        <f t="shared" si="13"/>
        <v>525.98367803805786</v>
      </c>
      <c r="C26" s="27">
        <f>(1-SUM(pHealthyStage1,pHealthyStage2,pHealthyStage3))*C25*(1-'Life Table - Female'!B80)</f>
        <v>105.71834208968222</v>
      </c>
      <c r="D26" s="19">
        <f t="shared" si="2"/>
        <v>0</v>
      </c>
      <c r="E26" s="20">
        <f t="shared" si="1"/>
        <v>35.711074396339775</v>
      </c>
      <c r="F26" s="27">
        <f>SUM(pHealthyStage1*C25,(1-SUM(pStage1Remission,pStage1Stage2))*F25,pStage2Stage1*I25,pRemissionStage1_trtB*O25)*(1-'Life Table - Female'!B80)</f>
        <v>85.397793573359124</v>
      </c>
      <c r="G26" s="19">
        <f t="shared" si="3"/>
        <v>46155.047826905044</v>
      </c>
      <c r="H26" s="20">
        <f t="shared" si="4"/>
        <v>25.38527630479777</v>
      </c>
      <c r="I26" s="27">
        <f>SUM(pHealthyStage2*C25,pStage1Stage2*F25,(1-SUM(pStage2Remission, pStage2Stage1, pStage2Stage3))*I25,pStage3Stage2*L25,pRemissionStage2_trtB*O25)*(1-'Life Table - Female'!B80)</f>
        <v>50.046371002193304</v>
      </c>
      <c r="J26" s="19">
        <f t="shared" si="5"/>
        <v>121718.79948317997</v>
      </c>
      <c r="K26" s="20">
        <f t="shared" si="6"/>
        <v>12.002826060146912</v>
      </c>
      <c r="L26" s="27">
        <f>SUM(pHealthyStage3*C25,pStage2Stage3*I25,(1-SUM(pStage3Death, pStage3Stage2))*L25)*(1-'Life Table - Female'!B80)</f>
        <v>17.785909943795371</v>
      </c>
      <c r="M26" s="19">
        <f t="shared" si="7"/>
        <v>139385.19487904443</v>
      </c>
      <c r="N26" s="20">
        <f t="shared" si="8"/>
        <v>2.1628737136403444</v>
      </c>
      <c r="O26" s="27">
        <f>SUM(pStage1Remission*F25,pStage2Remission*I25,(1-SUM(pRemissionStage1_trtB, pRemissionStage2_trtB))*O25)*(1-'Life Table - Female'!B80)</f>
        <v>267.0352614290278</v>
      </c>
      <c r="P26" s="19">
        <f t="shared" si="9"/>
        <v>685543.12176299712</v>
      </c>
      <c r="Q26" s="20">
        <f t="shared" si="10"/>
        <v>85.692890220374622</v>
      </c>
      <c r="R26" s="27">
        <f>SUM(pStage3Death*L25*(1-'Life Table - Female'!B80),R25)</f>
        <v>237.22977788102793</v>
      </c>
      <c r="S26" s="19">
        <f t="shared" si="11"/>
        <v>0</v>
      </c>
      <c r="T26" s="23">
        <f t="shared" si="12"/>
        <v>0</v>
      </c>
      <c r="U26" s="13">
        <f>SUM(B25*'Life Table - Female'!B80,U25)</f>
        <v>236.78654408091472</v>
      </c>
      <c r="V26" s="49">
        <f t="shared" si="14"/>
        <v>0</v>
      </c>
      <c r="W26" s="54">
        <v>0.66666666666666663</v>
      </c>
      <c r="X26" s="13">
        <f t="shared" si="15"/>
        <v>992802.16395212663</v>
      </c>
      <c r="Y26" s="25">
        <f t="shared" si="15"/>
        <v>160.9549406952994</v>
      </c>
    </row>
    <row r="27" spans="1:25" x14ac:dyDescent="0.2">
      <c r="A27" s="10">
        <v>24</v>
      </c>
      <c r="B27" s="15">
        <f t="shared" si="13"/>
        <v>499.09346400791242</v>
      </c>
      <c r="C27" s="27">
        <f>(1-SUM(pHealthyStage1,pHealthyStage2,pHealthyStage3))*C26*(1-'Life Table - Female'!B81)</f>
        <v>93.714554882504871</v>
      </c>
      <c r="D27" s="19">
        <f t="shared" si="2"/>
        <v>0</v>
      </c>
      <c r="E27" s="20">
        <f t="shared" si="1"/>
        <v>61.46846817699285</v>
      </c>
      <c r="F27" s="27">
        <f>SUM(pHealthyStage1*C26,(1-SUM(pStage1Remission,pStage1Stage2))*F26,pStage2Stage1*I26,pRemissionStage1_trtB*O26)*(1-'Life Table - Female'!B81)</f>
        <v>81.572768614157567</v>
      </c>
      <c r="G27" s="19">
        <f t="shared" si="3"/>
        <v>85607.246608897709</v>
      </c>
      <c r="H27" s="20">
        <f t="shared" si="4"/>
        <v>47.083985634893736</v>
      </c>
      <c r="I27" s="27">
        <f>SUM(pHealthyStage2*C26,pStage1Stage2*F26,(1-SUM(pStage2Remission, pStage2Stage1, pStage2Stage3))*I26,pStage3Stage2*L26,pRemissionStage2_trtB*O26)*(1-'Life Table - Female'!B81)</f>
        <v>47.774454658109391</v>
      </c>
      <c r="J27" s="19">
        <f t="shared" si="5"/>
        <v>225617.91342284385</v>
      </c>
      <c r="K27" s="20">
        <f t="shared" si="6"/>
        <v>22.2484331291971</v>
      </c>
      <c r="L27" s="27">
        <f>SUM(pHealthyStage3*C26,pStage2Stage3*I26,(1-SUM(pStage3Death, pStage3Stage2))*L26)*(1-'Life Table - Female'!B81)</f>
        <v>16.820574588301074</v>
      </c>
      <c r="M27" s="19">
        <f t="shared" si="7"/>
        <v>255961.21070230426</v>
      </c>
      <c r="N27" s="20">
        <f t="shared" si="8"/>
        <v>3.9718118902081687</v>
      </c>
      <c r="O27" s="27">
        <f>SUM(pStage1Remission*F26,pStage2Remission*I26,(1-SUM(pRemissionStage1_trtB, pRemissionStage2_trtB))*O26)*(1-'Life Table - Female'!B81)</f>
        <v>259.21111126483953</v>
      </c>
      <c r="P27" s="19">
        <f t="shared" si="9"/>
        <v>1292148.8633809853</v>
      </c>
      <c r="Q27" s="20">
        <f t="shared" si="10"/>
        <v>161.51860792262315</v>
      </c>
      <c r="R27" s="27">
        <f>SUM(pStage3Death*L26*(1-'Life Table - Female'!B81),R26)</f>
        <v>244.94160843204207</v>
      </c>
      <c r="S27" s="19">
        <f t="shared" si="11"/>
        <v>0</v>
      </c>
      <c r="T27" s="23">
        <f t="shared" si="12"/>
        <v>0</v>
      </c>
      <c r="U27" s="13">
        <f>SUM(B26*'Life Table - Female'!B81,U26)</f>
        <v>255.96492756004599</v>
      </c>
      <c r="V27" s="49">
        <f t="shared" si="14"/>
        <v>0</v>
      </c>
      <c r="W27" s="54">
        <v>1.3333333333333333</v>
      </c>
      <c r="X27" s="13">
        <f t="shared" si="15"/>
        <v>1859335.2341150311</v>
      </c>
      <c r="Y27" s="25">
        <f t="shared" si="15"/>
        <v>296.29130675391502</v>
      </c>
    </row>
    <row r="28" spans="1:25" x14ac:dyDescent="0.2">
      <c r="A28" s="10">
        <v>25</v>
      </c>
      <c r="B28" s="15">
        <f t="shared" si="13"/>
        <v>471.60790432768761</v>
      </c>
      <c r="C28" s="27">
        <f>(1-SUM(pHealthyStage1,pHealthyStage2,pHealthyStage3))*C27*(1-'Life Table - Female'!B82)</f>
        <v>82.723907380772104</v>
      </c>
      <c r="D28" s="19">
        <f t="shared" si="2"/>
        <v>0</v>
      </c>
      <c r="E28" s="20">
        <f t="shared" si="1"/>
        <v>26.339599250761648</v>
      </c>
      <c r="F28" s="27">
        <f>SUM(pHealthyStage1*C27,(1-SUM(pStage1Remission,pStage1Stage2))*F27,pStage2Stage1*I27,pRemissionStage1_trtB*O27)*(1-'Life Table - Female'!B82)</f>
        <v>77.558302633234547</v>
      </c>
      <c r="G28" s="19">
        <f t="shared" si="3"/>
        <v>39511.762432121664</v>
      </c>
      <c r="H28" s="20">
        <f t="shared" si="4"/>
        <v>21.731469337666915</v>
      </c>
      <c r="I28" s="27">
        <f>SUM(pHealthyStage2*C27,pStage1Stage2*F27,(1-SUM(pStage2Remission, pStage2Stage1, pStage2Stage3))*I27,pStage3Stage2*L27,pRemissionStage2_trtB*O27)*(1-'Life Table - Female'!B82)</f>
        <v>45.396480632369439</v>
      </c>
      <c r="J28" s="19">
        <f t="shared" si="5"/>
        <v>104071.73747951382</v>
      </c>
      <c r="K28" s="20">
        <f t="shared" si="6"/>
        <v>10.262629668118723</v>
      </c>
      <c r="L28" s="27">
        <f>SUM(pHealthyStage3*C27,pStage2Stage3*I27,(1-SUM(pStage3Death, pStage3Stage2))*L27)*(1-'Life Table - Female'!B82)</f>
        <v>15.844478652183515</v>
      </c>
      <c r="M28" s="19">
        <f t="shared" si="7"/>
        <v>117042.62727657563</v>
      </c>
      <c r="N28" s="20">
        <f t="shared" si="8"/>
        <v>1.816178699119277</v>
      </c>
      <c r="O28" s="27">
        <f>SUM(pStage1Remission*F27,pStage2Remission*I27,(1-SUM(pRemissionStage1_trtB, pRemissionStage2_trtB))*O27)*(1-'Life Table - Female'!B82)</f>
        <v>250.08473502912801</v>
      </c>
      <c r="P28" s="19">
        <f t="shared" si="9"/>
        <v>605172.10200200591</v>
      </c>
      <c r="Q28" s="20">
        <f t="shared" si="10"/>
        <v>75.646512750250736</v>
      </c>
      <c r="R28" s="27">
        <f>SUM(pStage3Death*L27*(1-'Life Table - Female'!B82),R27)</f>
        <v>252.20416463883296</v>
      </c>
      <c r="S28" s="19">
        <f t="shared" si="11"/>
        <v>0</v>
      </c>
      <c r="T28" s="23">
        <f t="shared" si="12"/>
        <v>0</v>
      </c>
      <c r="U28" s="13">
        <f>SUM(B27*'Life Table - Female'!B82,U27)</f>
        <v>276.18793103347991</v>
      </c>
      <c r="V28" s="49">
        <f t="shared" si="14"/>
        <v>0</v>
      </c>
      <c r="W28" s="54">
        <v>0.66666666666666663</v>
      </c>
      <c r="X28" s="13">
        <f t="shared" si="15"/>
        <v>865798.22919021698</v>
      </c>
      <c r="Y28" s="25">
        <f t="shared" si="15"/>
        <v>135.79638970591731</v>
      </c>
    </row>
    <row r="29" spans="1:25" x14ac:dyDescent="0.2">
      <c r="A29" s="10">
        <v>26</v>
      </c>
      <c r="B29" s="15">
        <f t="shared" si="13"/>
        <v>443.39443223179376</v>
      </c>
      <c r="C29" s="27">
        <f>(1-SUM(pHealthyStage1,pHealthyStage2,pHealthyStage3))*C28*(1-'Life Table - Female'!B83)</f>
        <v>72.651411732250622</v>
      </c>
      <c r="D29" s="19">
        <f t="shared" si="2"/>
        <v>0</v>
      </c>
      <c r="E29" s="20">
        <f t="shared" si="1"/>
        <v>44.917435414944684</v>
      </c>
      <c r="F29" s="27">
        <f>SUM(pHealthyStage1*C28,(1-SUM(pStage1Remission,pStage1Stage2))*F28,pStage2Stage1*I28,pRemissionStage1_trtB*O28)*(1-'Life Table - Female'!B83)</f>
        <v>73.338443420054475</v>
      </c>
      <c r="G29" s="19">
        <f t="shared" si="3"/>
        <v>72547.519002509522</v>
      </c>
      <c r="H29" s="20">
        <f t="shared" si="4"/>
        <v>39.901135451380235</v>
      </c>
      <c r="I29" s="27">
        <f>SUM(pHealthyStage2*C28,pStage1Stage2*F28,(1-SUM(pStage2Remission, pStage2Stage1, pStage2Stage3))*I28,pStage3Stage2*L28,pRemissionStage2_trtB*O28)*(1-'Life Table - Female'!B83)</f>
        <v>42.902923770276203</v>
      </c>
      <c r="J29" s="19">
        <f t="shared" si="5"/>
        <v>190981.05162214232</v>
      </c>
      <c r="K29" s="20">
        <f t="shared" si="6"/>
        <v>18.832853701627922</v>
      </c>
      <c r="L29" s="27">
        <f>SUM(pHealthyStage3*C28,pStage2Stage3*I28,(1-SUM(pStage3Death, pStage3Stage2))*L28)*(1-'Life Table - Female'!B83)</f>
        <v>14.85270275529018</v>
      </c>
      <c r="M29" s="19">
        <f t="shared" si="7"/>
        <v>213041.57730063223</v>
      </c>
      <c r="N29" s="20">
        <f t="shared" si="8"/>
        <v>3.3058175788029134</v>
      </c>
      <c r="O29" s="27">
        <f>SUM(pStage1Remission*F28,pStage2Remission*I28,(1-SUM(pRemissionStage1_trtB, pRemissionStage2_trtB))*O28)*(1-'Life Table - Female'!B83)</f>
        <v>239.6489505539223</v>
      </c>
      <c r="P29" s="19">
        <f t="shared" si="9"/>
        <v>1126056.0753879829</v>
      </c>
      <c r="Q29" s="20">
        <f t="shared" si="10"/>
        <v>140.75700942349786</v>
      </c>
      <c r="R29" s="27">
        <f>SUM(pStage3Death*L28*(1-'Life Table - Female'!B83),R28)</f>
        <v>259.01053627140163</v>
      </c>
      <c r="S29" s="19">
        <f t="shared" si="11"/>
        <v>0</v>
      </c>
      <c r="T29" s="23">
        <f t="shared" si="12"/>
        <v>0</v>
      </c>
      <c r="U29" s="13">
        <f>SUM(B28*'Life Table - Female'!B83,U28)</f>
        <v>297.59503149680506</v>
      </c>
      <c r="V29" s="49">
        <f t="shared" si="14"/>
        <v>0</v>
      </c>
      <c r="W29" s="54">
        <v>1.3333333333333333</v>
      </c>
      <c r="X29" s="13">
        <f t="shared" si="15"/>
        <v>1602626.2233132669</v>
      </c>
      <c r="Y29" s="25">
        <f t="shared" si="15"/>
        <v>247.71425157025362</v>
      </c>
    </row>
    <row r="30" spans="1:25" x14ac:dyDescent="0.2">
      <c r="A30" s="10">
        <v>27</v>
      </c>
      <c r="B30" s="15">
        <f t="shared" si="13"/>
        <v>414.66176970648303</v>
      </c>
      <c r="C30" s="27">
        <f>(1-SUM(pHealthyStage1,pHealthyStage2,pHealthyStage3))*C29*(1-'Life Table - Female'!B84)</f>
        <v>63.464671025469102</v>
      </c>
      <c r="D30" s="19">
        <f t="shared" si="2"/>
        <v>0</v>
      </c>
      <c r="E30" s="20">
        <f t="shared" si="1"/>
        <v>19.047400215617639</v>
      </c>
      <c r="F30" s="27">
        <f>SUM(pHealthyStage1*C29,(1-SUM(pStage1Remission,pStage1Stage2))*F29,pStage2Stage1*I29,pRemissionStage1_trtB*O29)*(1-'Life Table - Female'!B84)</f>
        <v>68.95315245125488</v>
      </c>
      <c r="G30" s="19">
        <f t="shared" si="3"/>
        <v>33111.41823369349</v>
      </c>
      <c r="H30" s="20">
        <f t="shared" si="4"/>
        <v>18.211280028531419</v>
      </c>
      <c r="I30" s="27">
        <f>SUM(pHealthyStage2*C29,pStage1Stage2*F29,(1-SUM(pStage2Remission, pStage2Stage1, pStage2Stage3))*I29,pStage3Stage2*L29,pRemissionStage2_trtB*O29)*(1-'Life Table - Female'!B84)</f>
        <v>40.316944385824719</v>
      </c>
      <c r="J30" s="19">
        <f t="shared" si="5"/>
        <v>87121.186197149538</v>
      </c>
      <c r="K30" s="20">
        <f t="shared" si="6"/>
        <v>8.5911169722189111</v>
      </c>
      <c r="L30" s="27">
        <f>SUM(pHealthyStage3*C29,pStage2Stage3*I29,(1-SUM(pStage3Death, pStage3Stage2))*L29)*(1-'Life Table - Female'!B84)</f>
        <v>13.851759888710772</v>
      </c>
      <c r="M30" s="19">
        <f t="shared" si="7"/>
        <v>96448.752237173438</v>
      </c>
      <c r="N30" s="20">
        <f t="shared" si="8"/>
        <v>1.4966185691975185</v>
      </c>
      <c r="O30" s="27">
        <f>SUM(pStage1Remission*F29,pStage2Remission*I29,(1-SUM(pRemissionStage1_trtB, pRemissionStage2_trtB))*O29)*(1-'Life Table - Female'!B84)</f>
        <v>228.07524195522359</v>
      </c>
      <c r="P30" s="19">
        <f t="shared" si="9"/>
        <v>520230.02095121529</v>
      </c>
      <c r="Q30" s="20">
        <f t="shared" si="10"/>
        <v>65.028752618901905</v>
      </c>
      <c r="R30" s="27">
        <f>SUM(pStage3Death*L29*(1-'Life Table - Female'!B84),R29)</f>
        <v>265.35680052083711</v>
      </c>
      <c r="S30" s="19">
        <f t="shared" si="11"/>
        <v>0</v>
      </c>
      <c r="T30" s="23">
        <f t="shared" si="12"/>
        <v>0</v>
      </c>
      <c r="U30" s="13">
        <f>SUM(B29*'Life Table - Female'!B84,U29)</f>
        <v>319.98142977268037</v>
      </c>
      <c r="V30" s="49">
        <f t="shared" si="14"/>
        <v>0</v>
      </c>
      <c r="W30" s="54">
        <v>0.66666666666666663</v>
      </c>
      <c r="X30" s="13">
        <f t="shared" si="15"/>
        <v>736911.37761923182</v>
      </c>
      <c r="Y30" s="25">
        <f t="shared" si="15"/>
        <v>112.37516840446739</v>
      </c>
    </row>
    <row r="31" spans="1:25" x14ac:dyDescent="0.2">
      <c r="A31" s="10">
        <v>28</v>
      </c>
      <c r="B31" s="15">
        <f t="shared" si="13"/>
        <v>385.38365600329871</v>
      </c>
      <c r="C31" s="27">
        <f>(1-SUM(pHealthyStage1,pHealthyStage2,pHealthyStage3))*C30*(1-'Life Table - Female'!B85)</f>
        <v>55.093090752859403</v>
      </c>
      <c r="D31" s="19">
        <f t="shared" si="2"/>
        <v>0</v>
      </c>
      <c r="E31" s="20">
        <f t="shared" si="1"/>
        <v>32.106545637844512</v>
      </c>
      <c r="F31" s="27">
        <f>SUM(pHealthyStage1*C30,(1-SUM(pStage1Remission,pStage1Stage2))*F30,pStage2Stage1*I30,pRemissionStage1_trtB*O30)*(1-'Life Table - Female'!B85)</f>
        <v>64.403506827502426</v>
      </c>
      <c r="G31" s="19">
        <f t="shared" si="3"/>
        <v>60051.788068168738</v>
      </c>
      <c r="H31" s="20">
        <f t="shared" si="4"/>
        <v>33.02848343749281</v>
      </c>
      <c r="I31" s="27">
        <f>SUM(pHealthyStage2*C30,pStage1Stage2*F30,(1-SUM(pStage2Remission, pStage2Stage1, pStage2Stage3))*I30,pStage3Stage2*L30,pRemissionStage2_trtB*O30)*(1-'Life Table - Female'!B85)</f>
        <v>37.638922458760455</v>
      </c>
      <c r="J31" s="19">
        <f t="shared" si="5"/>
        <v>157930.54100264094</v>
      </c>
      <c r="K31" s="20">
        <f t="shared" si="6"/>
        <v>15.573706126649313</v>
      </c>
      <c r="L31" s="27">
        <f>SUM(pHealthyStage3*C30,pStage2Stage3*I30,(1-SUM(pStage3Death, pStage3Stage2))*L30)*(1-'Life Table - Female'!B85)</f>
        <v>12.840258216601224</v>
      </c>
      <c r="M31" s="19">
        <f t="shared" si="7"/>
        <v>173603.38428189475</v>
      </c>
      <c r="N31" s="20">
        <f t="shared" si="8"/>
        <v>2.693845618167332</v>
      </c>
      <c r="O31" s="27">
        <f>SUM(pStage1Remission*F30,pStage2Remission*I30,(1-SUM(pRemissionStage1_trtB, pRemissionStage2_trtB))*O30)*(1-'Life Table - Female'!B85)</f>
        <v>215.40787774757524</v>
      </c>
      <c r="P31" s="19">
        <f t="shared" si="9"/>
        <v>954051.06157418725</v>
      </c>
      <c r="Q31" s="20">
        <f t="shared" si="10"/>
        <v>119.25638269677339</v>
      </c>
      <c r="R31" s="27">
        <f>SUM(pStage3Death*L30*(1-'Life Table - Female'!B85),R30)</f>
        <v>271.238390496617</v>
      </c>
      <c r="S31" s="19">
        <f t="shared" si="11"/>
        <v>0</v>
      </c>
      <c r="T31" s="23">
        <f t="shared" si="12"/>
        <v>0</v>
      </c>
      <c r="U31" s="13">
        <f>SUM(B30*'Life Table - Female'!B85,U30)</f>
        <v>343.37795350008474</v>
      </c>
      <c r="V31" s="49">
        <f t="shared" si="14"/>
        <v>0</v>
      </c>
      <c r="W31" s="54">
        <v>1.3333333333333333</v>
      </c>
      <c r="X31" s="13">
        <f t="shared" si="15"/>
        <v>1345636.7749268916</v>
      </c>
      <c r="Y31" s="25">
        <f t="shared" si="15"/>
        <v>202.65896351692734</v>
      </c>
    </row>
    <row r="32" spans="1:25" x14ac:dyDescent="0.2">
      <c r="A32" s="10">
        <v>29</v>
      </c>
      <c r="B32" s="15">
        <f t="shared" si="13"/>
        <v>355.54227701234032</v>
      </c>
      <c r="C32" s="27">
        <f>(1-SUM(pHealthyStage1,pHealthyStage2,pHealthyStage3))*C31*(1-'Life Table - Female'!B86)</f>
        <v>47.472671522189756</v>
      </c>
      <c r="D32" s="19">
        <f t="shared" si="2"/>
        <v>0</v>
      </c>
      <c r="E32" s="20">
        <f t="shared" si="1"/>
        <v>13.429903646113155</v>
      </c>
      <c r="F32" s="27">
        <f>SUM(pHealthyStage1*C31,(1-SUM(pStage1Remission,pStage1Stage2))*F31,pStage2Stage1*I31,pRemissionStage1_trtB*O31)*(1-'Life Table - Female'!B86)</f>
        <v>59.691558525677252</v>
      </c>
      <c r="G32" s="19">
        <f t="shared" si="3"/>
        <v>27018.555435169401</v>
      </c>
      <c r="H32" s="20">
        <f t="shared" si="4"/>
        <v>14.860205489343169</v>
      </c>
      <c r="I32" s="27">
        <f>SUM(pHealthyStage2*C31,pStage1Stage2*F31,(1-SUM(pStage2Remission, pStage2Stage1, pStage2Stage3))*I31,pStage3Stage2*L31,pRemissionStage2_trtB*O31)*(1-'Life Table - Female'!B86)</f>
        <v>34.869810597416951</v>
      </c>
      <c r="J32" s="19">
        <f t="shared" si="5"/>
        <v>71025.010949530246</v>
      </c>
      <c r="K32" s="20">
        <f t="shared" si="6"/>
        <v>7.0038552464120105</v>
      </c>
      <c r="L32" s="27">
        <f>SUM(pHealthyStage3*C31,pStage2Stage3*I31,(1-SUM(pStage3Death, pStage3Stage2))*L31)*(1-'Life Table - Female'!B86)</f>
        <v>11.817110948391159</v>
      </c>
      <c r="M32" s="19">
        <f t="shared" si="7"/>
        <v>77558.343078393475</v>
      </c>
      <c r="N32" s="20">
        <f t="shared" si="8"/>
        <v>1.2034915305267955</v>
      </c>
      <c r="O32" s="27">
        <f>SUM(pStage1Remission*F31,pStage2Remission*I31,(1-SUM(pRemissionStage1_trtB, pRemissionStage2_trtB))*O31)*(1-'Life Table - Female'!B86)</f>
        <v>201.69112541866519</v>
      </c>
      <c r="P32" s="19">
        <f t="shared" si="9"/>
        <v>433640.26992473955</v>
      </c>
      <c r="Q32" s="20">
        <f t="shared" si="10"/>
        <v>54.205033740592441</v>
      </c>
      <c r="R32" s="27">
        <f>SUM(pStage3Death*L31*(1-'Life Table - Female'!B86),R31)</f>
        <v>276.6502308789818</v>
      </c>
      <c r="S32" s="19">
        <f t="shared" si="11"/>
        <v>0</v>
      </c>
      <c r="T32" s="23">
        <f t="shared" si="12"/>
        <v>0</v>
      </c>
      <c r="U32" s="13">
        <f>SUM(B31*'Life Table - Female'!B86,U31)</f>
        <v>367.80749210867839</v>
      </c>
      <c r="V32" s="49">
        <f t="shared" si="14"/>
        <v>0</v>
      </c>
      <c r="W32" s="54">
        <v>0.66666666666666663</v>
      </c>
      <c r="X32" s="13">
        <f t="shared" si="15"/>
        <v>609242.17938783264</v>
      </c>
      <c r="Y32" s="25">
        <f t="shared" si="15"/>
        <v>90.702489652987566</v>
      </c>
    </row>
    <row r="33" spans="1:25" ht="16" thickBot="1" x14ac:dyDescent="0.25">
      <c r="A33" s="11">
        <v>30</v>
      </c>
      <c r="B33" s="166">
        <f t="shared" si="13"/>
        <v>325.19007385238297</v>
      </c>
      <c r="C33" s="28">
        <f>(1-SUM(pHealthyStage1,pHealthyStage2,pHealthyStage3))*C32*(1-'Life Table - Female'!B87)</f>
        <v>40.552922789708326</v>
      </c>
      <c r="D33" s="21">
        <f t="shared" si="2"/>
        <v>0</v>
      </c>
      <c r="E33" s="22">
        <f t="shared" si="1"/>
        <v>5.5690890830102351</v>
      </c>
      <c r="F33" s="28">
        <f>SUM(pHealthyStage1*C32,(1-SUM(pStage1Remission,pStage1Stage2))*F32,pStage2Stage1*I32,pRemissionStage1_trtB*O32)*(1-'Life Table - Female'!B87)</f>
        <v>54.830819472948136</v>
      </c>
      <c r="G33" s="21">
        <f t="shared" si="3"/>
        <v>12047.771539339514</v>
      </c>
      <c r="H33" s="22">
        <f t="shared" si="4"/>
        <v>6.6262743466367322</v>
      </c>
      <c r="I33" s="28">
        <f>SUM(pHealthyStage2*C32,pStage1Stage2*F32,(1-SUM(pStage2Remission, pStage2Stage1, pStage2Stage3))*I32,pStage3Stage2*L32,pRemissionStage2_trtB*O32)*(1-'Life Table - Female'!B87)</f>
        <v>32.01726116783567</v>
      </c>
      <c r="J33" s="21">
        <f t="shared" si="5"/>
        <v>31657.650425066633</v>
      </c>
      <c r="K33" s="22">
        <f t="shared" si="6"/>
        <v>3.1217960835829599</v>
      </c>
      <c r="L33" s="28">
        <f>SUM(pHealthyStage3*C32,pStage2Stage3*I32,(1-SUM(pStage3Death, pStage3Stage2))*L32)*(1-'Life Table - Female'!B87)</f>
        <v>10.783587721153772</v>
      </c>
      <c r="M33" s="21">
        <f t="shared" si="7"/>
        <v>34356.844126564341</v>
      </c>
      <c r="N33" s="22">
        <f t="shared" si="8"/>
        <v>0.53312344334323991</v>
      </c>
      <c r="O33" s="28">
        <f>SUM(pStage1Remission*F32,pStage2Remission*I32,(1-SUM(pRemissionStage1_trtB, pRemissionStage2_trtB))*O32)*(1-'Life Table - Female'!B87)</f>
        <v>187.00548270073705</v>
      </c>
      <c r="P33" s="21">
        <f t="shared" si="9"/>
        <v>195177.58316828107</v>
      </c>
      <c r="Q33" s="22">
        <f t="shared" si="10"/>
        <v>24.397197896035134</v>
      </c>
      <c r="R33" s="28">
        <f>SUM(pStage3Death*L32*(1-'Life Table - Female'!B87),R32)</f>
        <v>281.58781477530164</v>
      </c>
      <c r="S33" s="21">
        <f t="shared" si="11"/>
        <v>0</v>
      </c>
      <c r="T33" s="24">
        <f t="shared" si="12"/>
        <v>0</v>
      </c>
      <c r="U33" s="166">
        <f>SUM(B32*'Life Table - Female'!B87,U32)</f>
        <v>393.22211137231591</v>
      </c>
      <c r="V33" s="49">
        <f t="shared" si="14"/>
        <v>0</v>
      </c>
      <c r="W33" s="54">
        <v>0.33333333333333331</v>
      </c>
      <c r="X33" s="13">
        <f t="shared" si="15"/>
        <v>273239.84925925155</v>
      </c>
      <c r="Y33" s="25">
        <f t="shared" si="15"/>
        <v>40.247480852608305</v>
      </c>
    </row>
    <row r="34" spans="1:25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7"/>
      <c r="V34" s="29" t="s">
        <v>80</v>
      </c>
      <c r="W34" s="53"/>
      <c r="X34" s="30">
        <f>SUM(X3:X33)</f>
        <v>48509036.161780693</v>
      </c>
      <c r="Y34" s="31">
        <f>SUM(Y3:Y33)</f>
        <v>13674.783940561394</v>
      </c>
    </row>
    <row r="35" spans="1:25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7"/>
      <c r="V35" s="8"/>
      <c r="W35" s="8"/>
      <c r="X35" s="7"/>
      <c r="Y35" s="6"/>
    </row>
    <row r="36" spans="1:25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7"/>
      <c r="V36" s="8"/>
      <c r="W36" s="8"/>
      <c r="X36" s="7"/>
      <c r="Y36" s="6"/>
    </row>
    <row r="37" spans="1:25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7"/>
      <c r="V37" s="8"/>
      <c r="W37" s="8"/>
      <c r="X37" s="7"/>
      <c r="Y37" s="6"/>
    </row>
    <row r="38" spans="1:25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7"/>
      <c r="V38" s="8"/>
      <c r="W38" s="8"/>
      <c r="X38" s="7"/>
      <c r="Y38" s="6"/>
    </row>
    <row r="39" spans="1:25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7"/>
      <c r="V39" s="8"/>
      <c r="W39" s="8"/>
      <c r="X39" s="7"/>
      <c r="Y39" s="6"/>
    </row>
    <row r="40" spans="1:25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7"/>
      <c r="V40" s="8"/>
      <c r="W40" s="8"/>
      <c r="X40" s="7"/>
      <c r="Y40" s="6"/>
    </row>
    <row r="41" spans="1:25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7"/>
      <c r="V41" s="8"/>
      <c r="W41" s="8"/>
      <c r="X41" s="7"/>
      <c r="Y41" s="6"/>
    </row>
    <row r="42" spans="1:25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7"/>
      <c r="V42" s="8"/>
      <c r="W42" s="8"/>
      <c r="X42" s="7"/>
      <c r="Y42" s="6"/>
    </row>
    <row r="43" spans="1:25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7"/>
      <c r="V43" s="8"/>
      <c r="W43" s="8"/>
      <c r="X43" s="7"/>
      <c r="Y43" s="6"/>
    </row>
    <row r="44" spans="1:25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7"/>
      <c r="V44" s="8"/>
      <c r="W44" s="8"/>
      <c r="X44" s="7"/>
      <c r="Y44" s="6"/>
    </row>
    <row r="45" spans="1:25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7"/>
      <c r="V45" s="8"/>
      <c r="W45" s="8"/>
      <c r="X45" s="7"/>
      <c r="Y45" s="6"/>
    </row>
    <row r="46" spans="1:25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7"/>
      <c r="V46" s="8"/>
      <c r="W46" s="8"/>
      <c r="X46" s="7"/>
      <c r="Y46" s="6"/>
    </row>
    <row r="47" spans="1:25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7"/>
      <c r="V47" s="8"/>
      <c r="W47" s="8"/>
      <c r="X47" s="7"/>
      <c r="Y47" s="6"/>
    </row>
    <row r="48" spans="1:25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7"/>
      <c r="V48" s="8"/>
      <c r="W48" s="8"/>
      <c r="X48" s="7"/>
      <c r="Y48" s="6"/>
    </row>
    <row r="49" spans="2:25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7"/>
      <c r="V49" s="8"/>
      <c r="W49" s="8"/>
      <c r="X49" s="7"/>
      <c r="Y49" s="6"/>
    </row>
    <row r="50" spans="2:25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7"/>
      <c r="V50" s="8"/>
      <c r="W50" s="8"/>
      <c r="X50" s="7"/>
      <c r="Y50" s="6"/>
    </row>
    <row r="51" spans="2:25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7"/>
      <c r="V51" s="8"/>
      <c r="W51" s="8"/>
      <c r="X51" s="7"/>
      <c r="Y51" s="6"/>
    </row>
    <row r="52" spans="2:25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7"/>
      <c r="V52" s="8"/>
      <c r="W52" s="8"/>
      <c r="X52" s="7"/>
      <c r="Y52" s="6"/>
    </row>
    <row r="53" spans="2:25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7"/>
      <c r="V53" s="8"/>
      <c r="W53" s="8"/>
      <c r="X53" s="7"/>
      <c r="Y53" s="6"/>
    </row>
    <row r="54" spans="2:25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7"/>
      <c r="V54" s="8"/>
      <c r="W54" s="8"/>
      <c r="X54" s="7"/>
      <c r="Y54" s="6"/>
    </row>
    <row r="55" spans="2:25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7"/>
      <c r="V55" s="8"/>
      <c r="W55" s="8"/>
      <c r="X55" s="7"/>
      <c r="Y55" s="6"/>
    </row>
    <row r="56" spans="2:25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7"/>
      <c r="V56" s="8"/>
      <c r="W56" s="8"/>
      <c r="X56" s="7"/>
      <c r="Y56" s="6"/>
    </row>
    <row r="57" spans="2:25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7"/>
      <c r="V57" s="8"/>
      <c r="W57" s="8"/>
      <c r="X57" s="7"/>
      <c r="Y57" s="6"/>
    </row>
    <row r="58" spans="2:25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7"/>
      <c r="V58" s="8"/>
      <c r="W58" s="8"/>
      <c r="X58" s="7"/>
      <c r="Y58" s="6"/>
    </row>
    <row r="59" spans="2:25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7"/>
      <c r="V59" s="8"/>
      <c r="W59" s="8"/>
      <c r="X59" s="7"/>
      <c r="Y59" s="6"/>
    </row>
    <row r="60" spans="2:25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7"/>
      <c r="V60" s="8"/>
      <c r="W60" s="8"/>
      <c r="X60" s="7"/>
      <c r="Y60" s="6"/>
    </row>
    <row r="61" spans="2:25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7"/>
      <c r="V61" s="8"/>
      <c r="W61" s="8"/>
      <c r="X61" s="7"/>
      <c r="Y61" s="6"/>
    </row>
    <row r="62" spans="2:25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7"/>
      <c r="V62" s="8"/>
      <c r="W62" s="8"/>
      <c r="X62" s="7"/>
      <c r="Y62" s="6"/>
    </row>
    <row r="63" spans="2:25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7"/>
      <c r="V63" s="8"/>
      <c r="W63" s="8"/>
      <c r="X63" s="7"/>
      <c r="Y63" s="6"/>
    </row>
    <row r="64" spans="2:25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7"/>
      <c r="V64" s="8"/>
      <c r="W64" s="8"/>
      <c r="X64" s="7"/>
      <c r="Y64" s="6"/>
    </row>
    <row r="65" spans="2:25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7"/>
      <c r="V65" s="8"/>
      <c r="W65" s="8"/>
      <c r="X65" s="7"/>
      <c r="Y65" s="6"/>
    </row>
    <row r="66" spans="2:25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7"/>
      <c r="V66" s="8"/>
      <c r="W66" s="8"/>
      <c r="X66" s="7"/>
      <c r="Y66" s="6"/>
    </row>
    <row r="67" spans="2:25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7"/>
      <c r="V67" s="8"/>
      <c r="W67" s="8"/>
      <c r="X67" s="7"/>
      <c r="Y67" s="6"/>
    </row>
    <row r="68" spans="2:25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7"/>
      <c r="V68" s="8"/>
      <c r="W68" s="8"/>
      <c r="X68" s="7"/>
      <c r="Y68" s="6"/>
    </row>
    <row r="69" spans="2:25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7"/>
      <c r="V69" s="8"/>
      <c r="W69" s="8"/>
      <c r="X69" s="7"/>
      <c r="Y69" s="6"/>
    </row>
    <row r="70" spans="2:25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7"/>
      <c r="V70" s="8"/>
      <c r="W70" s="8"/>
      <c r="X70" s="7"/>
      <c r="Y70" s="6"/>
    </row>
    <row r="71" spans="2:25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7"/>
      <c r="V71" s="8"/>
      <c r="W71" s="8"/>
      <c r="X71" s="7"/>
      <c r="Y71" s="6"/>
    </row>
    <row r="72" spans="2:25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7"/>
      <c r="V72" s="8"/>
      <c r="W72" s="8"/>
      <c r="X72" s="7"/>
      <c r="Y72" s="6"/>
    </row>
    <row r="73" spans="2:25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7"/>
      <c r="V73" s="8"/>
      <c r="W73" s="8"/>
      <c r="X73" s="7"/>
      <c r="Y73" s="6"/>
    </row>
    <row r="74" spans="2:25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7"/>
      <c r="V74" s="8"/>
      <c r="W74" s="8"/>
      <c r="X74" s="7"/>
      <c r="Y74" s="6"/>
    </row>
    <row r="75" spans="2:25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7"/>
      <c r="V75" s="8"/>
      <c r="W75" s="8"/>
      <c r="X75" s="7"/>
      <c r="Y75" s="6"/>
    </row>
    <row r="76" spans="2:25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7"/>
      <c r="V76" s="8"/>
      <c r="W76" s="8"/>
      <c r="X76" s="7"/>
      <c r="Y76" s="6"/>
    </row>
    <row r="77" spans="2:25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7"/>
      <c r="V77" s="8"/>
      <c r="W77" s="8"/>
      <c r="X77" s="7"/>
      <c r="Y77" s="6"/>
    </row>
    <row r="78" spans="2:25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7"/>
      <c r="V78" s="8"/>
      <c r="W78" s="8"/>
      <c r="X78" s="7"/>
      <c r="Y78" s="6"/>
    </row>
    <row r="79" spans="2:25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7"/>
      <c r="V79" s="8"/>
      <c r="W79" s="8"/>
      <c r="X79" s="7"/>
      <c r="Y79" s="6"/>
    </row>
    <row r="80" spans="2:25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7"/>
      <c r="V80" s="8"/>
      <c r="W80" s="8"/>
      <c r="X80" s="7"/>
      <c r="Y80" s="6"/>
    </row>
    <row r="81" spans="2:25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7"/>
      <c r="V81" s="8"/>
      <c r="W81" s="8"/>
      <c r="X81" s="7"/>
      <c r="Y81" s="6"/>
    </row>
    <row r="82" spans="2:25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7"/>
      <c r="V82" s="8"/>
      <c r="W82" s="8"/>
      <c r="X82" s="7"/>
      <c r="Y82" s="6"/>
    </row>
    <row r="83" spans="2:25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7"/>
      <c r="V83" s="8"/>
      <c r="W83" s="8"/>
      <c r="X83" s="7"/>
      <c r="Y83" s="6"/>
    </row>
    <row r="84" spans="2:25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7"/>
      <c r="V84" s="8"/>
      <c r="W84" s="8"/>
      <c r="X84" s="7"/>
      <c r="Y84" s="6"/>
    </row>
    <row r="85" spans="2:25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7"/>
      <c r="V85" s="8"/>
      <c r="W85" s="8"/>
      <c r="X85" s="7"/>
      <c r="Y85" s="6"/>
    </row>
    <row r="86" spans="2:25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7"/>
      <c r="V86" s="8"/>
      <c r="W86" s="8"/>
      <c r="X86" s="7"/>
      <c r="Y86" s="6"/>
    </row>
    <row r="87" spans="2:25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7"/>
      <c r="V87" s="8"/>
      <c r="W87" s="8"/>
      <c r="X87" s="7"/>
      <c r="Y87" s="6"/>
    </row>
    <row r="88" spans="2:25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7"/>
      <c r="V88" s="8"/>
      <c r="W88" s="8"/>
      <c r="X88" s="7"/>
      <c r="Y88" s="6"/>
    </row>
    <row r="89" spans="2:25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7"/>
      <c r="V89" s="8"/>
      <c r="W89" s="8"/>
      <c r="X89" s="7"/>
      <c r="Y89" s="6"/>
    </row>
    <row r="90" spans="2:25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7"/>
      <c r="V90" s="8"/>
      <c r="W90" s="8"/>
      <c r="X90" s="7"/>
      <c r="Y90" s="6"/>
    </row>
    <row r="91" spans="2:25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7"/>
      <c r="V91" s="8"/>
      <c r="W91" s="8"/>
      <c r="X91" s="7"/>
      <c r="Y91" s="6"/>
    </row>
    <row r="92" spans="2:25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7"/>
      <c r="V92" s="8"/>
      <c r="W92" s="8"/>
      <c r="X92" s="7"/>
      <c r="Y92" s="6"/>
    </row>
    <row r="93" spans="2:25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7"/>
      <c r="V93" s="8"/>
      <c r="W93" s="8"/>
      <c r="X93" s="7"/>
      <c r="Y93" s="6"/>
    </row>
    <row r="94" spans="2:25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7"/>
      <c r="V94" s="8"/>
      <c r="W94" s="8"/>
      <c r="X94" s="7"/>
      <c r="Y94" s="6"/>
    </row>
    <row r="95" spans="2:25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7"/>
      <c r="V95" s="8"/>
      <c r="W95" s="8"/>
      <c r="X95" s="7"/>
      <c r="Y95" s="6"/>
    </row>
    <row r="96" spans="2:25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7"/>
      <c r="V96" s="8"/>
      <c r="W96" s="8"/>
      <c r="X96" s="7"/>
      <c r="Y96" s="6"/>
    </row>
    <row r="97" spans="2:25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7"/>
      <c r="V97" s="8"/>
      <c r="W97" s="8"/>
      <c r="X97" s="7"/>
      <c r="Y97" s="6"/>
    </row>
    <row r="98" spans="2:25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7"/>
      <c r="V98" s="8"/>
      <c r="W98" s="8"/>
      <c r="X98" s="7"/>
      <c r="Y98" s="6"/>
    </row>
    <row r="99" spans="2:25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7"/>
      <c r="V99" s="8"/>
      <c r="W99" s="8"/>
      <c r="X99" s="7"/>
      <c r="Y99" s="6"/>
    </row>
    <row r="100" spans="2:25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7"/>
      <c r="V100" s="8"/>
      <c r="W100" s="8"/>
      <c r="X100" s="7"/>
      <c r="Y100" s="6"/>
    </row>
    <row r="101" spans="2:25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7"/>
      <c r="V101" s="8"/>
      <c r="W101" s="8"/>
      <c r="X101" s="7"/>
      <c r="Y101" s="6"/>
    </row>
    <row r="102" spans="2:25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7"/>
      <c r="V102" s="8"/>
      <c r="W102" s="8"/>
      <c r="X102" s="7"/>
      <c r="Y102" s="6"/>
    </row>
    <row r="103" spans="2:25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7"/>
      <c r="V103" s="8"/>
      <c r="W103" s="8"/>
      <c r="X103" s="7"/>
      <c r="Y103" s="6"/>
    </row>
    <row r="104" spans="2:25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7"/>
      <c r="V104" s="8"/>
      <c r="W104" s="8"/>
      <c r="X104" s="7"/>
      <c r="Y104" s="6"/>
    </row>
    <row r="105" spans="2:25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7"/>
      <c r="V105" s="8"/>
      <c r="W105" s="8"/>
      <c r="X105" s="7"/>
      <c r="Y105" s="6"/>
    </row>
    <row r="106" spans="2:25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7"/>
      <c r="V106" s="8"/>
      <c r="W106" s="8"/>
      <c r="X106" s="7"/>
      <c r="Y106" s="6"/>
    </row>
    <row r="107" spans="2:25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7"/>
      <c r="V107" s="8"/>
      <c r="W107" s="8"/>
      <c r="X107" s="7"/>
      <c r="Y107" s="6"/>
    </row>
    <row r="108" spans="2:25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7"/>
      <c r="V108" s="8"/>
      <c r="W108" s="8"/>
      <c r="X108" s="7"/>
      <c r="Y108" s="6"/>
    </row>
    <row r="109" spans="2:25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7"/>
      <c r="V109" s="8"/>
      <c r="W109" s="8"/>
      <c r="X109" s="7"/>
      <c r="Y109" s="6"/>
    </row>
    <row r="110" spans="2:25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7"/>
      <c r="V110" s="8"/>
      <c r="W110" s="8"/>
      <c r="X110" s="7"/>
      <c r="Y110" s="6"/>
    </row>
    <row r="111" spans="2:25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7"/>
      <c r="V111" s="8"/>
      <c r="W111" s="8"/>
      <c r="X111" s="7"/>
      <c r="Y111" s="6"/>
    </row>
    <row r="112" spans="2:25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7"/>
      <c r="V112" s="8"/>
      <c r="W112" s="8"/>
      <c r="X112" s="7"/>
      <c r="Y112" s="6"/>
    </row>
    <row r="113" spans="2:25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7"/>
      <c r="V113" s="8"/>
      <c r="W113" s="8"/>
      <c r="X113" s="7"/>
      <c r="Y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6D2B9-262B-1944-861A-B1679BB2BA6F}">
  <sheetPr codeName="Sheet4"/>
  <dimension ref="A1:X113"/>
  <sheetViews>
    <sheetView workbookViewId="0">
      <selection activeCell="H11" sqref="H11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7.1640625" style="1" bestFit="1" customWidth="1"/>
    <col min="22" max="22" width="21.33203125" style="1" bestFit="1" customWidth="1"/>
    <col min="23" max="23" width="13.5" style="1" bestFit="1" customWidth="1"/>
    <col min="24" max="24" width="15" style="1" bestFit="1" customWidth="1"/>
    <col min="25" max="2000" width="8.83203125" style="1"/>
    <col min="2001" max="2001" width="2.33203125" style="1" customWidth="1"/>
    <col min="2002" max="16384" width="8.83203125" style="1"/>
  </cols>
  <sheetData>
    <row r="1" spans="1:24" x14ac:dyDescent="0.2">
      <c r="C1" s="216" t="s">
        <v>7</v>
      </c>
      <c r="D1" s="217"/>
      <c r="E1" s="218"/>
      <c r="F1" s="219" t="s">
        <v>8</v>
      </c>
      <c r="G1" s="220"/>
      <c r="H1" s="221"/>
      <c r="I1" s="222" t="s">
        <v>9</v>
      </c>
      <c r="J1" s="223"/>
      <c r="K1" s="224"/>
      <c r="L1" s="225" t="s">
        <v>10</v>
      </c>
      <c r="M1" s="226"/>
      <c r="N1" s="227"/>
      <c r="O1" s="228" t="s">
        <v>11</v>
      </c>
      <c r="P1" s="229"/>
      <c r="Q1" s="230"/>
      <c r="R1" s="213" t="s">
        <v>12</v>
      </c>
      <c r="S1" s="214"/>
      <c r="T1" s="215"/>
    </row>
    <row r="2" spans="1:24" x14ac:dyDescent="0.2">
      <c r="A2" s="2" t="s">
        <v>3</v>
      </c>
      <c r="B2" s="3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2" t="s">
        <v>13</v>
      </c>
      <c r="V2" s="2" t="s">
        <v>137</v>
      </c>
      <c r="W2" s="2" t="s">
        <v>14</v>
      </c>
      <c r="X2" s="2" t="s">
        <v>15</v>
      </c>
    </row>
    <row r="3" spans="1:24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C3*uHealthy*V3/(1+discount_rate)^A3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48">
        <f>SUM(C3,F3,I3,L3,O3,R3)-B3</f>
        <v>0</v>
      </c>
      <c r="V3" s="55">
        <v>0.33333333333333331</v>
      </c>
      <c r="W3" s="12">
        <f>SUM(D3,G3,J3,M3,P3,S3)</f>
        <v>0</v>
      </c>
      <c r="X3" s="12">
        <f>SUM(E3,H3,K3,N3,Q3,T3)</f>
        <v>333.33333333333331</v>
      </c>
    </row>
    <row r="4" spans="1:24" x14ac:dyDescent="0.2">
      <c r="A4" s="10">
        <v>1</v>
      </c>
      <c r="B4" s="15">
        <f>SUM(C3,F3,I3,L3,O3)</f>
        <v>1000</v>
      </c>
      <c r="C4" s="27">
        <f>(1-SUM(pHealthyStage1,pHealthyStage2,pHealthyStage3))*C3</f>
        <v>920</v>
      </c>
      <c r="D4" s="19">
        <f t="shared" ref="D4:D33" si="2">C4*0*V4/(1+discount_rate)^A4</f>
        <v>0</v>
      </c>
      <c r="E4" s="20">
        <f t="shared" si="1"/>
        <v>595.46925566343032</v>
      </c>
      <c r="F4" s="27" cm="1">
        <f t="array" ref="F4">SUM(pHealthyStage1*C3,(1-SUM(pStage1Remission,pStage1Stage2))*F3,pStage2Stage1*I3,pRemissionStage1_trtB*O3)</f>
        <v>50</v>
      </c>
      <c r="G4" s="19">
        <f t="shared" ref="G4:G33" si="3">F4*SUM(nVisitsStage1*cVisit,cTreatmentStage1)*V4/(1+discount_rate)^A4</f>
        <v>51779.935275080898</v>
      </c>
      <c r="H4" s="20">
        <f t="shared" ref="H4:H33" si="4">F4*uStage1*V4/(1+discount_rate)^A4</f>
        <v>28.478964401294498</v>
      </c>
      <c r="I4" s="27" cm="1">
        <f t="array" ref="I4">SUM(pHealthyStage2*C3,pStage1Stage2*F3,(1-SUM(pStage2Remission, pStage2Stage1, pStage2Stage3))*I3,pStage3Stage2*L3,pRemissionStage2_trtB*O3)</f>
        <v>20</v>
      </c>
      <c r="J4" s="19">
        <f t="shared" ref="J4:J33" si="5">I4*SUM(nVisitsStage2*cVisit,cTreatmentStage2)*V4/(1+discount_rate)^A4</f>
        <v>93203.883495145623</v>
      </c>
      <c r="K4" s="20">
        <f t="shared" ref="K4:K33" si="6">I4*uStage2*V4/(1+discount_rate)^A4</f>
        <v>9.1909385113268591</v>
      </c>
      <c r="L4" s="27">
        <f t="shared" ref="L4:L33" si="7">SUM(pHealthyStage3*C3,pStage2Stage3*I3,(1-SUM(pStage3Death, pStage3Stage2))*L3)</f>
        <v>10</v>
      </c>
      <c r="M4" s="19">
        <f t="shared" ref="M4:M33" si="8">L4*SUM(nVisitsStage3*cVisit,cTreatmentStage3)*V4/(1+discount_rate)^A4</f>
        <v>150161.81229773461</v>
      </c>
      <c r="N4" s="20">
        <f t="shared" ref="N4:N33" si="9">L4*uStage3*V4/(1+discount_rate)^A4</f>
        <v>2.3300970873786402</v>
      </c>
      <c r="O4" s="27">
        <f t="shared" ref="O4:O33" si="10">SUM(pStage1Remission*F3,pStage2Remission*I3,(1-SUM(pRemissionStage1_trtB, pRemissionStage2_trtB))*O3)</f>
        <v>0</v>
      </c>
      <c r="P4" s="19">
        <f t="shared" ref="P4:P33" si="11">O4*SUM(nVisitsRemission*cVisit, cTrtB)*V4/(1+discount_rate)^A4</f>
        <v>0</v>
      </c>
      <c r="Q4" s="20">
        <f t="shared" ref="Q4:Q33" si="12">O4*uRemission*V4/(1+discount_rate)^A4</f>
        <v>0</v>
      </c>
      <c r="R4" s="27">
        <f t="shared" ref="R4:R33" si="13">SUM(pStage3Death*L3,R3)</f>
        <v>0</v>
      </c>
      <c r="S4" s="19">
        <f t="shared" ref="S4:S33" si="14">R4*0*V4/(1+discount_rate)^A4</f>
        <v>0</v>
      </c>
      <c r="T4" s="23">
        <f t="shared" ref="T4:T33" si="15">R4*0*V4/(1+discount_rate)^A4</f>
        <v>0</v>
      </c>
      <c r="U4" s="49">
        <f t="shared" ref="U4:U33" si="16">SUM(C4,F4,I4,L4,O4,R4-R3)-B4</f>
        <v>0</v>
      </c>
      <c r="V4" s="54">
        <v>0.66666666666666663</v>
      </c>
      <c r="W4" s="13">
        <f>SUM(D4,G4,J4,M4,P4,S4)</f>
        <v>295145.63106796111</v>
      </c>
      <c r="X4" s="25">
        <f>SUM(E4,H4,K4,N4,Q4,T4)</f>
        <v>635.46925566343032</v>
      </c>
    </row>
    <row r="5" spans="1:24" x14ac:dyDescent="0.2">
      <c r="A5" s="10">
        <v>2</v>
      </c>
      <c r="B5" s="15">
        <f>SUM(C4,F4,I4,L4,O4)</f>
        <v>1000</v>
      </c>
      <c r="C5" s="27">
        <f>(1-SUM(pHealthyStage1,pHealthyStage2,pHealthyStage3))*C4</f>
        <v>846.40000000000009</v>
      </c>
      <c r="D5" s="19">
        <f t="shared" si="2"/>
        <v>0</v>
      </c>
      <c r="E5" s="20">
        <f t="shared" si="1"/>
        <v>1063.7509033210797</v>
      </c>
      <c r="F5" s="27" cm="1">
        <f t="array" ref="F5">SUM(pHealthyStage1*C4,(1-SUM(pStage1Remission,pStage1Stage2))*F4,pStage2Stage1*I4,pRemissionStage1_trtB*O4)</f>
        <v>79.5</v>
      </c>
      <c r="G5" s="19">
        <f t="shared" si="3"/>
        <v>159864.26618908474</v>
      </c>
      <c r="H5" s="20">
        <f t="shared" si="4"/>
        <v>87.925346403996599</v>
      </c>
      <c r="I5" s="27" cm="1">
        <f t="array" ref="I5">SUM(pHealthyStage2*C4,pStage1Stage2*F4,(1-SUM(pStage2Remission, pStage2Stage1, pStage2Stage3))*I4,pStage3Stage2*L4,pRemissionStage2_trtB*O4)</f>
        <v>35.900000000000006</v>
      </c>
      <c r="J5" s="19">
        <f t="shared" si="5"/>
        <v>324856.25412385713</v>
      </c>
      <c r="K5" s="20">
        <f t="shared" si="6"/>
        <v>32.034436170547025</v>
      </c>
      <c r="L5" s="27">
        <f t="shared" si="7"/>
        <v>17.200000000000003</v>
      </c>
      <c r="M5" s="19">
        <f t="shared" si="8"/>
        <v>501511.29544097785</v>
      </c>
      <c r="N5" s="20">
        <f t="shared" si="9"/>
        <v>7.7820718258082762</v>
      </c>
      <c r="O5" s="27">
        <f t="shared" si="10"/>
        <v>16.5</v>
      </c>
      <c r="P5" s="19">
        <f t="shared" si="11"/>
        <v>157602.03600716373</v>
      </c>
      <c r="Q5" s="20">
        <f t="shared" si="12"/>
        <v>19.700254500895465</v>
      </c>
      <c r="R5" s="27">
        <f t="shared" si="13"/>
        <v>4.5</v>
      </c>
      <c r="S5" s="19">
        <f t="shared" si="14"/>
        <v>0</v>
      </c>
      <c r="T5" s="23">
        <f t="shared" si="15"/>
        <v>0</v>
      </c>
      <c r="U5" s="49">
        <f t="shared" si="16"/>
        <v>0</v>
      </c>
      <c r="V5" s="54">
        <v>1.3333333333333333</v>
      </c>
      <c r="W5" s="13">
        <f t="shared" ref="W5:X33" si="17">SUM(D5,G5,J5,M5,P5,S5)</f>
        <v>1143833.8517610836</v>
      </c>
      <c r="X5" s="25">
        <f t="shared" si="17"/>
        <v>1211.1930122223271</v>
      </c>
    </row>
    <row r="6" spans="1:24" x14ac:dyDescent="0.2">
      <c r="A6" s="10">
        <v>3</v>
      </c>
      <c r="B6" s="15">
        <f t="shared" ref="B6:B33" si="18">SUM(C5,F5,I5,L5,O5)</f>
        <v>995.50000000000011</v>
      </c>
      <c r="C6" s="27">
        <f t="shared" ref="C6:C33" si="19">(1-SUM(pHealthyStage1,pHealthyStage2,pHealthyStage3))*C5</f>
        <v>778.6880000000001</v>
      </c>
      <c r="D6" s="19">
        <f t="shared" si="2"/>
        <v>0</v>
      </c>
      <c r="E6" s="20">
        <f t="shared" si="1"/>
        <v>475.07321895892881</v>
      </c>
      <c r="F6" s="27" cm="1">
        <f t="array" ref="F6">SUM(pHealthyStage1*C5,(1-SUM(pStage1Remission,pStage1Stage2))*F5,pStage2Stage1*I5,pRemissionStage1_trtB*O5)</f>
        <v>97.11</v>
      </c>
      <c r="G6" s="19">
        <f t="shared" si="3"/>
        <v>94794.033642437687</v>
      </c>
      <c r="H6" s="20">
        <f t="shared" si="4"/>
        <v>52.136718503340724</v>
      </c>
      <c r="I6" s="27" cm="1">
        <f t="array" ref="I6">SUM(pHealthyStage2*C5,pStage1Stage2*F5,(1-SUM(pStage2Remission, pStage2Stage1, pStage2Stage3))*I5,pStage3Stage2*L5,pRemissionStage2_trtB*O5)</f>
        <v>47.773000000000003</v>
      </c>
      <c r="J6" s="19">
        <f t="shared" si="5"/>
        <v>209851.4999629368</v>
      </c>
      <c r="K6" s="20">
        <f t="shared" si="6"/>
        <v>20.693689579678484</v>
      </c>
      <c r="L6" s="27">
        <f t="shared" si="7"/>
        <v>22.449000000000002</v>
      </c>
      <c r="M6" s="19">
        <f t="shared" si="8"/>
        <v>317747.43371400179</v>
      </c>
      <c r="N6" s="20">
        <f t="shared" si="9"/>
        <v>4.9305636265965793</v>
      </c>
      <c r="O6" s="27">
        <f t="shared" si="10"/>
        <v>41.74</v>
      </c>
      <c r="P6" s="19">
        <f t="shared" si="11"/>
        <v>193536.59849776444</v>
      </c>
      <c r="Q6" s="20">
        <f t="shared" si="12"/>
        <v>24.192074812220557</v>
      </c>
      <c r="R6" s="27">
        <f t="shared" si="13"/>
        <v>12.240000000000002</v>
      </c>
      <c r="S6" s="19">
        <f t="shared" si="14"/>
        <v>0</v>
      </c>
      <c r="T6" s="23">
        <f t="shared" si="15"/>
        <v>0</v>
      </c>
      <c r="U6" s="49">
        <f t="shared" si="16"/>
        <v>0</v>
      </c>
      <c r="V6" s="54">
        <v>0.66666666666666663</v>
      </c>
      <c r="W6" s="13">
        <f t="shared" si="17"/>
        <v>815929.56581714074</v>
      </c>
      <c r="X6" s="25">
        <f t="shared" si="17"/>
        <v>577.02626548076512</v>
      </c>
    </row>
    <row r="7" spans="1:24" x14ac:dyDescent="0.2">
      <c r="A7" s="10">
        <v>4</v>
      </c>
      <c r="B7" s="15">
        <f t="shared" si="18"/>
        <v>987.7600000000001</v>
      </c>
      <c r="C7" s="27">
        <f t="shared" si="19"/>
        <v>716.39296000000013</v>
      </c>
      <c r="D7" s="19">
        <f t="shared" si="2"/>
        <v>0</v>
      </c>
      <c r="E7" s="20">
        <f t="shared" si="1"/>
        <v>848.67448823730979</v>
      </c>
      <c r="F7" s="27" cm="1">
        <f t="array" ref="F7">SUM(pHealthyStage1*C6,(1-SUM(pStage1Remission,pStage1Stage2))*F6,pStage2Stage1*I6,pRemissionStage1_trtB*O6)</f>
        <v>107.78375000000001</v>
      </c>
      <c r="G7" s="19">
        <f t="shared" si="3"/>
        <v>204297.52714833632</v>
      </c>
      <c r="H7" s="20">
        <f t="shared" si="4"/>
        <v>112.36363993158498</v>
      </c>
      <c r="I7" s="27" cm="1">
        <f t="array" ref="I7">SUM(pHealthyStage2*C6,pStage1Stage2*F6,(1-SUM(pStage2Remission, pStage2Stage1, pStage2Stage3))*I6,pStage3Stage2*L6,pRemissionStage2_trtB*O6)</f>
        <v>56.323210000000003</v>
      </c>
      <c r="J7" s="19">
        <f t="shared" si="5"/>
        <v>480407.44878753996</v>
      </c>
      <c r="K7" s="20">
        <f t="shared" si="6"/>
        <v>47.373512310993519</v>
      </c>
      <c r="L7" s="27">
        <f t="shared" si="7"/>
        <v>26.177330000000005</v>
      </c>
      <c r="M7" s="19">
        <f t="shared" si="8"/>
        <v>719454.23036419135</v>
      </c>
      <c r="N7" s="20">
        <f t="shared" si="9"/>
        <v>11.163944953927107</v>
      </c>
      <c r="O7" s="27">
        <f t="shared" si="10"/>
        <v>70.980699999999999</v>
      </c>
      <c r="P7" s="19">
        <f t="shared" si="11"/>
        <v>639063.05036682321</v>
      </c>
      <c r="Q7" s="20">
        <f t="shared" si="12"/>
        <v>79.882881295852911</v>
      </c>
      <c r="R7" s="27">
        <f t="shared" si="13"/>
        <v>22.34205</v>
      </c>
      <c r="S7" s="19">
        <f t="shared" si="14"/>
        <v>0</v>
      </c>
      <c r="T7" s="23">
        <f t="shared" si="15"/>
        <v>0</v>
      </c>
      <c r="U7" s="49">
        <f t="shared" si="16"/>
        <v>0</v>
      </c>
      <c r="V7" s="54">
        <v>1.3333333333333333</v>
      </c>
      <c r="W7" s="13">
        <f t="shared" si="17"/>
        <v>2043222.2566668908</v>
      </c>
      <c r="X7" s="25">
        <f t="shared" si="17"/>
        <v>1099.4584667296683</v>
      </c>
    </row>
    <row r="8" spans="1:24" x14ac:dyDescent="0.2">
      <c r="A8" s="10">
        <v>5</v>
      </c>
      <c r="B8" s="15">
        <f t="shared" si="18"/>
        <v>977.65795000000014</v>
      </c>
      <c r="C8" s="27">
        <f t="shared" si="19"/>
        <v>659.08152320000011</v>
      </c>
      <c r="D8" s="19">
        <f t="shared" si="2"/>
        <v>0</v>
      </c>
      <c r="E8" s="20">
        <f t="shared" si="1"/>
        <v>379.01967435841021</v>
      </c>
      <c r="F8" s="27" cm="1">
        <f t="array" ref="F8">SUM(pHealthyStage1*C7,(1-SUM(pStage1Remission,pStage1Stage2))*F7,pStage2Stage1*I7,pRemissionStage1_trtB*O7)</f>
        <v>114.37370200000002</v>
      </c>
      <c r="G8" s="19">
        <f t="shared" si="3"/>
        <v>105237.07738425244</v>
      </c>
      <c r="H8" s="20">
        <f t="shared" si="4"/>
        <v>57.880392561338837</v>
      </c>
      <c r="I8" s="27" cm="1">
        <f t="array" ref="I8">SUM(pHealthyStage2*C7,pStage1Stage2*F7,(1-SUM(pStage2Remission, pStage2Stage1, pStage2Stage3))*I7,pStage3Stage2*L7,pRemissionStage2_trtB*O7)</f>
        <v>62.338447700000003</v>
      </c>
      <c r="J8" s="19">
        <f t="shared" si="5"/>
        <v>258113.72443628538</v>
      </c>
      <c r="K8" s="20">
        <f t="shared" si="6"/>
        <v>25.452881159689252</v>
      </c>
      <c r="L8" s="27">
        <f t="shared" si="7"/>
        <v>28.701076100000002</v>
      </c>
      <c r="M8" s="19">
        <f t="shared" si="8"/>
        <v>382920.64564747369</v>
      </c>
      <c r="N8" s="20">
        <f t="shared" si="9"/>
        <v>5.9418720876332118</v>
      </c>
      <c r="O8" s="27">
        <f t="shared" si="10"/>
        <v>101.38340250000002</v>
      </c>
      <c r="P8" s="19">
        <f t="shared" si="11"/>
        <v>443101.34884209419</v>
      </c>
      <c r="Q8" s="20">
        <f t="shared" si="12"/>
        <v>55.387668605261773</v>
      </c>
      <c r="R8" s="27">
        <f t="shared" si="13"/>
        <v>34.121848499999999</v>
      </c>
      <c r="S8" s="19">
        <f t="shared" si="14"/>
        <v>0</v>
      </c>
      <c r="T8" s="23">
        <f t="shared" si="15"/>
        <v>0</v>
      </c>
      <c r="U8" s="49">
        <f t="shared" si="16"/>
        <v>0</v>
      </c>
      <c r="V8" s="54">
        <v>0.66666666666666663</v>
      </c>
      <c r="W8" s="13">
        <f t="shared" si="17"/>
        <v>1189372.7963101058</v>
      </c>
      <c r="X8" s="25">
        <f t="shared" si="17"/>
        <v>523.68248877233327</v>
      </c>
    </row>
    <row r="9" spans="1:24" x14ac:dyDescent="0.2">
      <c r="A9" s="10">
        <v>6</v>
      </c>
      <c r="B9" s="15">
        <f t="shared" si="18"/>
        <v>965.87815150000006</v>
      </c>
      <c r="C9" s="27">
        <f t="shared" si="19"/>
        <v>606.35500134400013</v>
      </c>
      <c r="D9" s="19">
        <f t="shared" si="2"/>
        <v>0</v>
      </c>
      <c r="E9" s="20">
        <f t="shared" si="1"/>
        <v>677.08369011599495</v>
      </c>
      <c r="F9" s="27" cm="1">
        <f t="array" ref="F9">SUM(pHealthyStage1*C8,(1-SUM(pStage1Remission,pStage1Stage2))*F8,pStage2Stage1*I8,pRemissionStage1_trtB*O8)</f>
        <v>118.52457704500003</v>
      </c>
      <c r="G9" s="19">
        <f t="shared" si="3"/>
        <v>211759.93025125627</v>
      </c>
      <c r="H9" s="20">
        <f t="shared" si="4"/>
        <v>116.46796163819096</v>
      </c>
      <c r="I9" s="27" cm="1">
        <f t="array" ref="I9">SUM(pHealthyStage2*C8,pStage1Stage2*F8,(1-SUM(pStage2Remission, pStage2Stage1, pStage2Stage3))*I8,pStage3Stage2*L8,pRemissionStage2_trtB*O8)</f>
        <v>66.498625164000003</v>
      </c>
      <c r="J9" s="19">
        <f t="shared" si="5"/>
        <v>534638.89599319187</v>
      </c>
      <c r="K9" s="20">
        <f t="shared" si="6"/>
        <v>52.72133557710643</v>
      </c>
      <c r="L9" s="27">
        <f t="shared" si="7"/>
        <v>30.292120437000001</v>
      </c>
      <c r="M9" s="19">
        <f t="shared" si="8"/>
        <v>784753.1147296296</v>
      </c>
      <c r="N9" s="20">
        <f t="shared" si="9"/>
        <v>12.177203504425286</v>
      </c>
      <c r="O9" s="27">
        <f t="shared" si="10"/>
        <v>131.292343265</v>
      </c>
      <c r="P9" s="19">
        <f t="shared" si="11"/>
        <v>1114213.4078097763</v>
      </c>
      <c r="Q9" s="20">
        <f t="shared" si="12"/>
        <v>139.27667597622204</v>
      </c>
      <c r="R9" s="27">
        <f t="shared" si="13"/>
        <v>47.037332745000001</v>
      </c>
      <c r="S9" s="19">
        <f t="shared" si="14"/>
        <v>0</v>
      </c>
      <c r="T9" s="23">
        <f t="shared" si="15"/>
        <v>0</v>
      </c>
      <c r="U9" s="49">
        <f t="shared" si="16"/>
        <v>0</v>
      </c>
      <c r="V9" s="54">
        <v>1.3333333333333333</v>
      </c>
      <c r="W9" s="13">
        <f t="shared" si="17"/>
        <v>2645365.3487838539</v>
      </c>
      <c r="X9" s="25">
        <f t="shared" si="17"/>
        <v>997.72686681193966</v>
      </c>
    </row>
    <row r="10" spans="1:24" x14ac:dyDescent="0.2">
      <c r="A10" s="10">
        <v>7</v>
      </c>
      <c r="B10" s="15">
        <f t="shared" si="18"/>
        <v>952.96266725500016</v>
      </c>
      <c r="C10" s="27">
        <f t="shared" si="19"/>
        <v>557.84660123648018</v>
      </c>
      <c r="D10" s="19">
        <f t="shared" si="2"/>
        <v>0</v>
      </c>
      <c r="E10" s="20">
        <f t="shared" si="1"/>
        <v>302.38689073141524</v>
      </c>
      <c r="F10" s="27" cm="1">
        <f t="array" ref="F10">SUM(pHealthyStage1*C9,(1-SUM(pStage1Remission,pStage1Stage2))*F9,pStage2Stage1*I9,pRemissionStage1_trtB*O9)</f>
        <v>121.18704386585003</v>
      </c>
      <c r="G10" s="19">
        <f t="shared" si="3"/>
        <v>105105.23376225846</v>
      </c>
      <c r="H10" s="20">
        <f t="shared" si="4"/>
        <v>57.807878569242156</v>
      </c>
      <c r="I10" s="27" cm="1">
        <f t="array" ref="I10">SUM(pHealthyStage2*C9,pStage1Stage2*F9,(1-SUM(pStage2Remission, pStage2Stage1, pStage2Stage3))*I9,pStage3Stage2*L9,pRemissionStage2_trtB*O9)</f>
        <v>69.332109149580006</v>
      </c>
      <c r="J10" s="19">
        <f t="shared" si="5"/>
        <v>270592.07718266099</v>
      </c>
      <c r="K10" s="20">
        <f t="shared" si="6"/>
        <v>26.683385388845732</v>
      </c>
      <c r="L10" s="27">
        <f t="shared" si="7"/>
        <v>31.184404006540003</v>
      </c>
      <c r="M10" s="19">
        <f t="shared" si="8"/>
        <v>392169.30737949925</v>
      </c>
      <c r="N10" s="20">
        <f t="shared" si="9"/>
        <v>6.0853858041646429</v>
      </c>
      <c r="O10" s="27">
        <f t="shared" si="10"/>
        <v>159.78105479990001</v>
      </c>
      <c r="P10" s="19">
        <f t="shared" si="11"/>
        <v>658244.20461184857</v>
      </c>
      <c r="Q10" s="20">
        <f t="shared" si="12"/>
        <v>82.280525576481068</v>
      </c>
      <c r="R10" s="27">
        <f t="shared" si="13"/>
        <v>60.668786941649998</v>
      </c>
      <c r="S10" s="19">
        <f t="shared" si="14"/>
        <v>0</v>
      </c>
      <c r="T10" s="23">
        <f t="shared" si="15"/>
        <v>0</v>
      </c>
      <c r="U10" s="49">
        <f t="shared" si="16"/>
        <v>0</v>
      </c>
      <c r="V10" s="54">
        <v>0.66666666666666663</v>
      </c>
      <c r="W10" s="13">
        <f t="shared" si="17"/>
        <v>1426110.8229362674</v>
      </c>
      <c r="X10" s="25">
        <f t="shared" si="17"/>
        <v>475.24406607014885</v>
      </c>
    </row>
    <row r="11" spans="1:24" x14ac:dyDescent="0.2">
      <c r="A11" s="10">
        <v>8</v>
      </c>
      <c r="B11" s="15">
        <f t="shared" si="18"/>
        <v>939.33121305835016</v>
      </c>
      <c r="C11" s="27">
        <f t="shared" si="19"/>
        <v>513.21887313756179</v>
      </c>
      <c r="D11" s="19">
        <f t="shared" si="2"/>
        <v>0</v>
      </c>
      <c r="E11" s="20">
        <f t="shared" si="1"/>
        <v>540.18629023864469</v>
      </c>
      <c r="F11" s="27" cm="1">
        <f t="array" ref="F11">SUM(pHealthyStage1*C10,(1-SUM(pStage1Remission,pStage1Stage2))*F10,pStage2Stage1*I10,pRemissionStage1_trtB*O10)</f>
        <v>122.91299841609754</v>
      </c>
      <c r="G11" s="19">
        <f t="shared" si="3"/>
        <v>206994.46606268064</v>
      </c>
      <c r="H11" s="20">
        <f t="shared" si="4"/>
        <v>113.84695633447436</v>
      </c>
      <c r="I11" s="27" cm="1">
        <f t="array" ref="I11">SUM(pHealthyStage2*C10,pStage1Stage2*F10,(1-SUM(pStage2Remission, pStage2Stage1, pStage2Stage3))*I10,pStage3Stage2*L10,pRemissionStage2_trtB*O10)</f>
        <v>71.227553745386601</v>
      </c>
      <c r="J11" s="19">
        <f t="shared" si="5"/>
        <v>539785.81117632333</v>
      </c>
      <c r="K11" s="20">
        <f t="shared" si="6"/>
        <v>53.228878602109653</v>
      </c>
      <c r="L11" s="27">
        <f t="shared" si="7"/>
        <v>31.570484388071804</v>
      </c>
      <c r="M11" s="19">
        <f t="shared" si="8"/>
        <v>770921.52034509543</v>
      </c>
      <c r="N11" s="20">
        <f t="shared" si="9"/>
        <v>11.962575315699755</v>
      </c>
      <c r="O11" s="27">
        <f t="shared" si="10"/>
        <v>186.3683215682895</v>
      </c>
      <c r="P11" s="19">
        <f t="shared" si="11"/>
        <v>1490824.8568332475</v>
      </c>
      <c r="Q11" s="20">
        <f t="shared" si="12"/>
        <v>186.3531071041559</v>
      </c>
      <c r="R11" s="27">
        <f t="shared" si="13"/>
        <v>74.701768744592997</v>
      </c>
      <c r="S11" s="19">
        <f t="shared" si="14"/>
        <v>0</v>
      </c>
      <c r="T11" s="23">
        <f t="shared" si="15"/>
        <v>0</v>
      </c>
      <c r="U11" s="49">
        <f t="shared" si="16"/>
        <v>0</v>
      </c>
      <c r="V11" s="54">
        <v>1.3333333333333333</v>
      </c>
      <c r="W11" s="13">
        <f t="shared" si="17"/>
        <v>3008526.6544173467</v>
      </c>
      <c r="X11" s="25">
        <f t="shared" si="17"/>
        <v>905.57780759508432</v>
      </c>
    </row>
    <row r="12" spans="1:24" x14ac:dyDescent="0.2">
      <c r="A12" s="10">
        <v>9</v>
      </c>
      <c r="B12" s="15">
        <f t="shared" si="18"/>
        <v>925.29823125540713</v>
      </c>
      <c r="C12" s="27">
        <f t="shared" si="19"/>
        <v>472.16136328655688</v>
      </c>
      <c r="D12" s="19">
        <f t="shared" si="2"/>
        <v>0</v>
      </c>
      <c r="E12" s="20">
        <f t="shared" si="1"/>
        <v>241.2482461259967</v>
      </c>
      <c r="F12" s="27" cm="1">
        <f t="array" ref="F12">SUM(pHealthyStage1*C11,(1-SUM(pStage1Remission,pStage1Stage2))*F11,pStage2Stage1*I11,pRemissionStage1_trtB*O11)</f>
        <v>124.02523604007398</v>
      </c>
      <c r="G12" s="19">
        <f t="shared" si="3"/>
        <v>101392.01720957922</v>
      </c>
      <c r="H12" s="20">
        <f t="shared" si="4"/>
        <v>55.765609465268575</v>
      </c>
      <c r="I12" s="27" cm="1">
        <f t="array" ref="I12">SUM(pHealthyStage2*C11,pStage1Stage2*F11,(1-SUM(pStage2Remission, pStage2Stage1, pStage2Stage3))*I11,pStage3Stage2*L11,pRemissionStage2_trtB*O11)</f>
        <v>72.461783418045229</v>
      </c>
      <c r="J12" s="19">
        <f t="shared" si="5"/>
        <v>266572.43168183917</v>
      </c>
      <c r="K12" s="20">
        <f t="shared" si="6"/>
        <v>26.28700367973692</v>
      </c>
      <c r="L12" s="27">
        <f t="shared" si="7"/>
        <v>31.60156398721951</v>
      </c>
      <c r="M12" s="19">
        <f t="shared" si="8"/>
        <v>374602.1625775742</v>
      </c>
      <c r="N12" s="20">
        <f t="shared" si="9"/>
        <v>5.8127921779278759</v>
      </c>
      <c r="O12" s="27">
        <f t="shared" si="10"/>
        <v>210.84156654887937</v>
      </c>
      <c r="P12" s="19">
        <f t="shared" si="11"/>
        <v>818735.35601479094</v>
      </c>
      <c r="Q12" s="20">
        <f t="shared" si="12"/>
        <v>102.34191950184886</v>
      </c>
      <c r="R12" s="27">
        <f t="shared" si="13"/>
        <v>88.908486719225309</v>
      </c>
      <c r="S12" s="19">
        <f t="shared" si="14"/>
        <v>0</v>
      </c>
      <c r="T12" s="23">
        <f t="shared" si="15"/>
        <v>0</v>
      </c>
      <c r="U12" s="49">
        <f t="shared" si="16"/>
        <v>0</v>
      </c>
      <c r="V12" s="54">
        <v>0.66666666666666663</v>
      </c>
      <c r="W12" s="13">
        <f t="shared" si="17"/>
        <v>1561301.9674837836</v>
      </c>
      <c r="X12" s="25">
        <f t="shared" si="17"/>
        <v>431.45557095077891</v>
      </c>
    </row>
    <row r="13" spans="1:24" x14ac:dyDescent="0.2">
      <c r="A13" s="10">
        <v>10</v>
      </c>
      <c r="B13" s="15">
        <f t="shared" si="18"/>
        <v>911.09151328077496</v>
      </c>
      <c r="C13" s="27">
        <f t="shared" si="19"/>
        <v>434.38845422363232</v>
      </c>
      <c r="D13" s="19">
        <f t="shared" si="2"/>
        <v>0</v>
      </c>
      <c r="E13" s="20">
        <f t="shared" si="1"/>
        <v>430.96774065226595</v>
      </c>
      <c r="F13" s="27" cm="1">
        <f t="array" ref="F13">SUM(pHealthyStage1*C12,(1-SUM(pStage1Remission,pStage1Stage2))*F12,pStage2Stage1*I12,pRemissionStage1_trtB*O12)</f>
        <v>124.71488608518855</v>
      </c>
      <c r="G13" s="19">
        <f t="shared" si="3"/>
        <v>197972.45404379105</v>
      </c>
      <c r="H13" s="20">
        <f t="shared" si="4"/>
        <v>108.88484972408509</v>
      </c>
      <c r="I13" s="27" cm="1">
        <f t="array" ref="I13">SUM(pHealthyStage2*C12,pStage1Stage2*F12,(1-SUM(pStage2Remission, pStage2Stage1, pStage2Stage3))*I12,pStage3Stage2*L12,pRemissionStage2_trtB*O12)</f>
        <v>73.22814611639302</v>
      </c>
      <c r="J13" s="19">
        <f t="shared" si="5"/>
        <v>523090.73207401246</v>
      </c>
      <c r="K13" s="20">
        <f t="shared" si="6"/>
        <v>51.582558301742893</v>
      </c>
      <c r="L13" s="27">
        <f t="shared" si="7"/>
        <v>31.391663139182107</v>
      </c>
      <c r="M13" s="19">
        <f t="shared" si="8"/>
        <v>722551.48809626</v>
      </c>
      <c r="N13" s="20">
        <f t="shared" si="9"/>
        <v>11.212005849769552</v>
      </c>
      <c r="O13" s="27">
        <f t="shared" si="10"/>
        <v>233.14765992213017</v>
      </c>
      <c r="P13" s="19">
        <f t="shared" si="11"/>
        <v>1757968.7175407438</v>
      </c>
      <c r="Q13" s="20">
        <f t="shared" si="12"/>
        <v>219.74608969259299</v>
      </c>
      <c r="R13" s="27">
        <f t="shared" si="13"/>
        <v>103.12919051347409</v>
      </c>
      <c r="S13" s="19">
        <f t="shared" si="14"/>
        <v>0</v>
      </c>
      <c r="T13" s="23">
        <f t="shared" si="15"/>
        <v>0</v>
      </c>
      <c r="U13" s="49">
        <f t="shared" si="16"/>
        <v>0</v>
      </c>
      <c r="V13" s="54">
        <v>1.3333333333333333</v>
      </c>
      <c r="W13" s="13">
        <f t="shared" si="17"/>
        <v>3201583.391754807</v>
      </c>
      <c r="X13" s="25">
        <f t="shared" si="17"/>
        <v>822.39324422045638</v>
      </c>
    </row>
    <row r="14" spans="1:24" x14ac:dyDescent="0.2">
      <c r="A14" s="10">
        <v>11</v>
      </c>
      <c r="B14" s="15">
        <f t="shared" si="18"/>
        <v>896.87080948652613</v>
      </c>
      <c r="C14" s="27">
        <f t="shared" si="19"/>
        <v>399.63737788574173</v>
      </c>
      <c r="D14" s="19">
        <f t="shared" si="2"/>
        <v>0</v>
      </c>
      <c r="E14" s="20">
        <f t="shared" si="1"/>
        <v>192.47102980586635</v>
      </c>
      <c r="F14" s="27" cm="1">
        <f t="array" ref="F14">SUM(pHealthyStage1*C13,(1-SUM(pStage1Remission,pStage1Stage2))*F13,pStage2Stage1*I13,pRemissionStage1_trtB*O13)</f>
        <v>125.09731876614426</v>
      </c>
      <c r="G14" s="19">
        <f t="shared" si="3"/>
        <v>96397.829036928233</v>
      </c>
      <c r="H14" s="20">
        <f t="shared" si="4"/>
        <v>53.018805970310538</v>
      </c>
      <c r="I14" s="27" cm="1">
        <f t="array" ref="I14">SUM(pHealthyStage2*C13,pStage1Stage2*F13,(1-SUM(pStage2Remission, pStage2Stage1, pStage2Stage3))*I13,pStage3Stage2*L13,pRemissionStage2_trtB*O13)</f>
        <v>73.660158317450339</v>
      </c>
      <c r="J14" s="19">
        <f t="shared" si="5"/>
        <v>255425.59490956514</v>
      </c>
      <c r="K14" s="20">
        <f t="shared" si="6"/>
        <v>25.187801720248782</v>
      </c>
      <c r="L14" s="27">
        <f t="shared" si="7"/>
        <v>31.023938029286331</v>
      </c>
      <c r="M14" s="19">
        <f t="shared" si="8"/>
        <v>346644.39177114645</v>
      </c>
      <c r="N14" s="20">
        <f t="shared" si="9"/>
        <v>5.3789646998971001</v>
      </c>
      <c r="O14" s="27">
        <f t="shared" si="10"/>
        <v>253.32576807527158</v>
      </c>
      <c r="P14" s="19">
        <f t="shared" si="11"/>
        <v>927240.15215938503</v>
      </c>
      <c r="Q14" s="20">
        <f t="shared" si="12"/>
        <v>115.90501901992312</v>
      </c>
      <c r="R14" s="27">
        <f t="shared" si="13"/>
        <v>117.25543892610604</v>
      </c>
      <c r="S14" s="19">
        <f t="shared" si="14"/>
        <v>0</v>
      </c>
      <c r="T14" s="23">
        <f t="shared" si="15"/>
        <v>0</v>
      </c>
      <c r="U14" s="49">
        <f t="shared" si="16"/>
        <v>0</v>
      </c>
      <c r="V14" s="54">
        <v>0.66666666666666663</v>
      </c>
      <c r="W14" s="13">
        <f t="shared" si="17"/>
        <v>1625707.9678770248</v>
      </c>
      <c r="X14" s="25">
        <f t="shared" si="17"/>
        <v>391.96162121624593</v>
      </c>
    </row>
    <row r="15" spans="1:24" x14ac:dyDescent="0.2">
      <c r="A15" s="10">
        <v>12</v>
      </c>
      <c r="B15" s="15">
        <f t="shared" si="18"/>
        <v>882.74456107389437</v>
      </c>
      <c r="C15" s="27">
        <f t="shared" si="19"/>
        <v>367.66638765488239</v>
      </c>
      <c r="D15" s="19">
        <f t="shared" si="2"/>
        <v>0</v>
      </c>
      <c r="E15" s="20">
        <f t="shared" si="1"/>
        <v>343.83174256581952</v>
      </c>
      <c r="F15" s="27" cm="1">
        <f t="array" ref="F15">SUM(pHealthyStage1*C14,(1-SUM(pStage1Remission,pStage1Stage2))*F14,pStage2Stage1*I14,pRemissionStage1_trtB*O14)</f>
        <v>125.2441954541751</v>
      </c>
      <c r="G15" s="19">
        <f t="shared" si="3"/>
        <v>187400.01877869788</v>
      </c>
      <c r="H15" s="20">
        <f t="shared" si="4"/>
        <v>103.07001032828386</v>
      </c>
      <c r="I15" s="27" cm="1">
        <f t="array" ref="I15">SUM(pHealthyStage2*C14,pStage1Stage2*F14,(1-SUM(pStage2Remission, pStage2Stage1, pStage2Stage3))*I14,pStage3Stage2*L14,pRemissionStage2_trtB*O14)</f>
        <v>73.849544368521933</v>
      </c>
      <c r="J15" s="19">
        <f t="shared" si="5"/>
        <v>497247.21198239579</v>
      </c>
      <c r="K15" s="20">
        <f t="shared" si="6"/>
        <v>49.034100070486261</v>
      </c>
      <c r="L15" s="27">
        <f t="shared" si="7"/>
        <v>30.557366541118135</v>
      </c>
      <c r="M15" s="19">
        <f t="shared" si="8"/>
        <v>662973.16312004684</v>
      </c>
      <c r="N15" s="20">
        <f t="shared" si="9"/>
        <v>10.287514600138659</v>
      </c>
      <c r="O15" s="27">
        <f t="shared" si="10"/>
        <v>271.46629494201784</v>
      </c>
      <c r="P15" s="19">
        <f t="shared" si="11"/>
        <v>1929396.7738850098</v>
      </c>
      <c r="Q15" s="20">
        <f t="shared" si="12"/>
        <v>241.17459673562621</v>
      </c>
      <c r="R15" s="27">
        <f t="shared" si="13"/>
        <v>131.2162110392849</v>
      </c>
      <c r="S15" s="19">
        <f t="shared" si="14"/>
        <v>0</v>
      </c>
      <c r="T15" s="23">
        <f t="shared" si="15"/>
        <v>0</v>
      </c>
      <c r="U15" s="49">
        <f t="shared" si="16"/>
        <v>0</v>
      </c>
      <c r="V15" s="54">
        <v>1.3333333333333333</v>
      </c>
      <c r="W15" s="13">
        <f t="shared" si="17"/>
        <v>3277017.1677661501</v>
      </c>
      <c r="X15" s="25">
        <f t="shared" si="17"/>
        <v>747.39796430035449</v>
      </c>
    </row>
    <row r="16" spans="1:24" x14ac:dyDescent="0.2">
      <c r="A16" s="10">
        <v>13</v>
      </c>
      <c r="B16" s="15">
        <f t="shared" si="18"/>
        <v>868.78378896071536</v>
      </c>
      <c r="C16" s="27">
        <f t="shared" si="19"/>
        <v>338.25307664249181</v>
      </c>
      <c r="D16" s="19">
        <f t="shared" si="2"/>
        <v>0</v>
      </c>
      <c r="E16" s="20">
        <f t="shared" si="1"/>
        <v>153.5559238643466</v>
      </c>
      <c r="F16" s="27" cm="1">
        <f t="array" ref="F16">SUM(pHealthyStage1*C15,(1-SUM(pStage1Remission,pStage1Stage2))*F15,pStage2Stage1*I15,pRemissionStage1_trtB*O15)</f>
        <v>125.20182724174546</v>
      </c>
      <c r="G16" s="19">
        <f t="shared" si="3"/>
        <v>90940.10883185167</v>
      </c>
      <c r="H16" s="20">
        <f t="shared" si="4"/>
        <v>50.017059857518419</v>
      </c>
      <c r="I16" s="27" cm="1">
        <f t="array" ref="I16">SUM(pHealthyStage2*C15,pStage1Stage2*F15,(1-SUM(pStage2Remission, pStage2Stage1, pStage2Stage3))*I15,pStage3Stage2*L15,pRemissionStage2_trtB*O15)</f>
        <v>73.859331094944764</v>
      </c>
      <c r="J16" s="19">
        <f t="shared" si="5"/>
        <v>241414.13030449164</v>
      </c>
      <c r="K16" s="20">
        <f t="shared" si="6"/>
        <v>23.806115627248481</v>
      </c>
      <c r="L16" s="27">
        <f t="shared" si="7"/>
        <v>30.032778802386183</v>
      </c>
      <c r="M16" s="19">
        <f t="shared" si="8"/>
        <v>316306.6496570154</v>
      </c>
      <c r="N16" s="20">
        <f t="shared" si="9"/>
        <v>4.9082066326088585</v>
      </c>
      <c r="O16" s="27">
        <f t="shared" si="10"/>
        <v>287.68596023564407</v>
      </c>
      <c r="P16" s="19">
        <f t="shared" si="11"/>
        <v>992560.70993974188</v>
      </c>
      <c r="Q16" s="20">
        <f t="shared" si="12"/>
        <v>124.07008874246775</v>
      </c>
      <c r="R16" s="27">
        <f t="shared" si="13"/>
        <v>144.96702598278807</v>
      </c>
      <c r="S16" s="19">
        <f t="shared" si="14"/>
        <v>0</v>
      </c>
      <c r="T16" s="23">
        <f t="shared" si="15"/>
        <v>0</v>
      </c>
      <c r="U16" s="49">
        <f t="shared" si="16"/>
        <v>0</v>
      </c>
      <c r="V16" s="54">
        <v>0.66666666666666663</v>
      </c>
      <c r="W16" s="13">
        <f t="shared" si="17"/>
        <v>1641221.5987331006</v>
      </c>
      <c r="X16" s="25">
        <f t="shared" si="17"/>
        <v>356.3573947241901</v>
      </c>
    </row>
    <row r="17" spans="1:24" x14ac:dyDescent="0.2">
      <c r="A17" s="10">
        <v>14</v>
      </c>
      <c r="B17" s="15">
        <f t="shared" si="18"/>
        <v>855.03297401721227</v>
      </c>
      <c r="C17" s="27">
        <f t="shared" si="19"/>
        <v>311.1928305110925</v>
      </c>
      <c r="D17" s="19">
        <f t="shared" si="2"/>
        <v>0</v>
      </c>
      <c r="E17" s="20">
        <f t="shared" si="1"/>
        <v>274.31349505863858</v>
      </c>
      <c r="F17" s="27" cm="1">
        <f t="array" ref="F17">SUM(pHealthyStage1*C16,(1-SUM(pStage1Remission,pStage1Stage2))*F16,pStage2Stage1*I16,pRemissionStage1_trtB*O16)</f>
        <v>125.00168491285791</v>
      </c>
      <c r="G17" s="19">
        <f t="shared" si="3"/>
        <v>176300.45792686721</v>
      </c>
      <c r="H17" s="20">
        <f t="shared" si="4"/>
        <v>96.965251859776984</v>
      </c>
      <c r="I17" s="27" cm="1">
        <f t="array" ref="I17">SUM(pHealthyStage2*C16,pStage1Stage2*F16,(1-SUM(pStage2Remission, pStage2Stage1, pStage2Stage3))*I16,pStage3Stage2*L16,pRemissionStage2_trtB*O16)</f>
        <v>73.733060661179877</v>
      </c>
      <c r="J17" s="19">
        <f t="shared" si="5"/>
        <v>467963.89709385979</v>
      </c>
      <c r="K17" s="20">
        <f t="shared" si="6"/>
        <v>46.146439852311168</v>
      </c>
      <c r="L17" s="27">
        <f t="shared" si="7"/>
        <v>29.477819831859723</v>
      </c>
      <c r="M17" s="19">
        <f t="shared" si="8"/>
        <v>602838.43782305578</v>
      </c>
      <c r="N17" s="20">
        <f t="shared" si="9"/>
        <v>9.354389552426726</v>
      </c>
      <c r="O17" s="27">
        <f t="shared" si="10"/>
        <v>302.11282763914858</v>
      </c>
      <c r="P17" s="19">
        <f t="shared" si="11"/>
        <v>2023952.6531469866</v>
      </c>
      <c r="Q17" s="20">
        <f t="shared" si="12"/>
        <v>252.99408164337325</v>
      </c>
      <c r="R17" s="27">
        <f t="shared" si="13"/>
        <v>158.48177644386186</v>
      </c>
      <c r="S17" s="19">
        <f t="shared" si="14"/>
        <v>0</v>
      </c>
      <c r="T17" s="23">
        <f t="shared" si="15"/>
        <v>0</v>
      </c>
      <c r="U17" s="49">
        <f t="shared" si="16"/>
        <v>0</v>
      </c>
      <c r="V17" s="54">
        <v>1.3333333333333333</v>
      </c>
      <c r="W17" s="13">
        <f t="shared" si="17"/>
        <v>3271055.4459907692</v>
      </c>
      <c r="X17" s="25">
        <f t="shared" si="17"/>
        <v>679.77365796652668</v>
      </c>
    </row>
    <row r="18" spans="1:24" x14ac:dyDescent="0.2">
      <c r="A18" s="10">
        <v>15</v>
      </c>
      <c r="B18" s="15">
        <f t="shared" si="18"/>
        <v>841.51822355613854</v>
      </c>
      <c r="C18" s="27">
        <f t="shared" si="19"/>
        <v>286.29740407020512</v>
      </c>
      <c r="D18" s="19">
        <f t="shared" si="2"/>
        <v>0</v>
      </c>
      <c r="E18" s="20">
        <f t="shared" si="1"/>
        <v>122.5089395407512</v>
      </c>
      <c r="F18" s="27" cm="1">
        <f t="array" ref="F18">SUM(pHealthyStage1*C17,(1-SUM(pStage1Remission,pStage1Stage2))*F17,pStage2Stage1*I17,pRemissionStage1_trtB*O17)</f>
        <v>124.66641596310313</v>
      </c>
      <c r="G18" s="19">
        <f t="shared" si="3"/>
        <v>85353.203760049728</v>
      </c>
      <c r="H18" s="20">
        <f t="shared" si="4"/>
        <v>46.944262068027349</v>
      </c>
      <c r="I18" s="27" cm="1">
        <f t="array" ref="I18">SUM(pHealthyStage2*C17,pStage1Stage2*F17,(1-SUM(pStage2Remission, pStage2Stage1, pStage2Stage3))*I17,pStage3Stage2*L17,pRemissionStage2_trtB*O17)</f>
        <v>73.501137318982998</v>
      </c>
      <c r="J18" s="19">
        <f t="shared" si="5"/>
        <v>226452.39905009273</v>
      </c>
      <c r="K18" s="20">
        <f t="shared" si="6"/>
        <v>22.330722684106366</v>
      </c>
      <c r="L18" s="27">
        <f t="shared" si="7"/>
        <v>28.910797320217767</v>
      </c>
      <c r="M18" s="19">
        <f t="shared" si="8"/>
        <v>287010.92234328354</v>
      </c>
      <c r="N18" s="20">
        <f t="shared" si="9"/>
        <v>4.4536177604992275</v>
      </c>
      <c r="O18" s="27">
        <f t="shared" si="10"/>
        <v>314.87744995929273</v>
      </c>
      <c r="P18" s="19">
        <f t="shared" si="11"/>
        <v>1024013.1229923997</v>
      </c>
      <c r="Q18" s="20">
        <f t="shared" si="12"/>
        <v>128.00164037404994</v>
      </c>
      <c r="R18" s="27">
        <f t="shared" si="13"/>
        <v>171.74679536819875</v>
      </c>
      <c r="S18" s="19">
        <f t="shared" si="14"/>
        <v>0</v>
      </c>
      <c r="T18" s="23">
        <f t="shared" si="15"/>
        <v>0</v>
      </c>
      <c r="U18" s="49">
        <f t="shared" si="16"/>
        <v>0</v>
      </c>
      <c r="V18" s="54">
        <v>0.66666666666666663</v>
      </c>
      <c r="W18" s="13">
        <f t="shared" si="17"/>
        <v>1622829.6481458256</v>
      </c>
      <c r="X18" s="25">
        <f t="shared" si="17"/>
        <v>324.23918242743412</v>
      </c>
    </row>
    <row r="19" spans="1:24" x14ac:dyDescent="0.2">
      <c r="A19" s="10">
        <v>16</v>
      </c>
      <c r="B19" s="15">
        <f t="shared" si="18"/>
        <v>828.25320463180174</v>
      </c>
      <c r="C19" s="27">
        <f t="shared" si="19"/>
        <v>263.39361174458872</v>
      </c>
      <c r="D19" s="19">
        <f t="shared" si="2"/>
        <v>0</v>
      </c>
      <c r="E19" s="20">
        <f t="shared" si="1"/>
        <v>218.850921121342</v>
      </c>
      <c r="F19" s="27" cm="1">
        <f t="array" ref="F19">SUM(pHealthyStage1*C18,(1-SUM(pStage1Remission,pStage1Stage2))*F18,pStage2Stage1*I18,pRemissionStage1_trtB*O18)</f>
        <v>124.21329344221985</v>
      </c>
      <c r="G19" s="19">
        <f t="shared" si="3"/>
        <v>165131.98482098783</v>
      </c>
      <c r="H19" s="20">
        <f t="shared" si="4"/>
        <v>90.822591651543306</v>
      </c>
      <c r="I19" s="27" cm="1">
        <f t="array" ref="I19">SUM(pHealthyStage2*C18,pStage1Stage2*F18,(1-SUM(pStage2Remission, pStage2Stage1, pStage2Stage3))*I18,pStage3Stage2*L18,pRemissionStage2_trtB*O18)</f>
        <v>73.18513543389389</v>
      </c>
      <c r="J19" s="19">
        <f t="shared" si="5"/>
        <v>437822.9457095922</v>
      </c>
      <c r="K19" s="20">
        <f t="shared" si="6"/>
        <v>43.174207146362569</v>
      </c>
      <c r="L19" s="27">
        <f t="shared" si="7"/>
        <v>28.343543298658382</v>
      </c>
      <c r="M19" s="19">
        <f t="shared" si="8"/>
        <v>546368.01557147107</v>
      </c>
      <c r="N19" s="20">
        <f t="shared" si="9"/>
        <v>8.4781243795573094</v>
      </c>
      <c r="O19" s="27">
        <f t="shared" si="10"/>
        <v>326.10776191834293</v>
      </c>
      <c r="P19" s="19">
        <f t="shared" si="11"/>
        <v>2059291.7019524986</v>
      </c>
      <c r="Q19" s="20">
        <f t="shared" si="12"/>
        <v>257.41146274406231</v>
      </c>
      <c r="R19" s="27">
        <f t="shared" si="13"/>
        <v>184.75665416229674</v>
      </c>
      <c r="S19" s="19">
        <f t="shared" si="14"/>
        <v>0</v>
      </c>
      <c r="T19" s="23">
        <f t="shared" si="15"/>
        <v>0</v>
      </c>
      <c r="U19" s="49">
        <f t="shared" si="16"/>
        <v>0</v>
      </c>
      <c r="V19" s="54">
        <v>1.3333333333333333</v>
      </c>
      <c r="W19" s="13">
        <f t="shared" si="17"/>
        <v>3208614.6480545495</v>
      </c>
      <c r="X19" s="25">
        <f t="shared" si="17"/>
        <v>618.73730704286754</v>
      </c>
    </row>
    <row r="20" spans="1:24" x14ac:dyDescent="0.2">
      <c r="A20" s="10">
        <v>17</v>
      </c>
      <c r="B20" s="15">
        <f t="shared" si="18"/>
        <v>815.24334583770383</v>
      </c>
      <c r="C20" s="27">
        <f t="shared" si="19"/>
        <v>242.32212280502165</v>
      </c>
      <c r="D20" s="19">
        <f t="shared" si="2"/>
        <v>0</v>
      </c>
      <c r="E20" s="20">
        <f t="shared" si="1"/>
        <v>97.739246326036238</v>
      </c>
      <c r="F20" s="27" cm="1">
        <f t="array" ref="F20">SUM(pHealthyStage1*C19,(1-SUM(pStage1Remission,pStage1Stage2))*F19,pStage2Stage1*I19,pRemissionStage1_trtB*O19)</f>
        <v>123.65619904983447</v>
      </c>
      <c r="G20" s="19">
        <f t="shared" si="3"/>
        <v>79801.636326191379</v>
      </c>
      <c r="H20" s="20">
        <f t="shared" si="4"/>
        <v>43.890899979405262</v>
      </c>
      <c r="I20" s="27" cm="1">
        <f t="array" ref="I20">SUM(pHealthyStage2*C19,pStage1Stage2*F19,(1-SUM(pStage2Remission, pStage2Stage1, pStage2Stage3))*I19,pStage3Stage2*L19,pRemissionStage2_trtB*O19)</f>
        <v>72.800692861933285</v>
      </c>
      <c r="J20" s="19">
        <f t="shared" si="5"/>
        <v>211418.95896174564</v>
      </c>
      <c r="K20" s="20">
        <f t="shared" si="6"/>
        <v>20.848258453172143</v>
      </c>
      <c r="L20" s="27">
        <f t="shared" si="7"/>
        <v>27.783478081859162</v>
      </c>
      <c r="M20" s="19">
        <f t="shared" si="8"/>
        <v>259986.33264345783</v>
      </c>
      <c r="N20" s="20">
        <f t="shared" si="9"/>
        <v>4.0342706789502074</v>
      </c>
      <c r="O20" s="27">
        <f t="shared" si="10"/>
        <v>335.92625855465894</v>
      </c>
      <c r="P20" s="19">
        <f t="shared" si="11"/>
        <v>1029753.9491511352</v>
      </c>
      <c r="Q20" s="20">
        <f t="shared" si="12"/>
        <v>128.7192436438919</v>
      </c>
      <c r="R20" s="27">
        <f t="shared" si="13"/>
        <v>197.51124864669302</v>
      </c>
      <c r="S20" s="19">
        <f t="shared" si="14"/>
        <v>0</v>
      </c>
      <c r="T20" s="23">
        <f t="shared" si="15"/>
        <v>0</v>
      </c>
      <c r="U20" s="49">
        <f t="shared" si="16"/>
        <v>0</v>
      </c>
      <c r="V20" s="54">
        <v>0.66666666666666663</v>
      </c>
      <c r="W20" s="13">
        <f t="shared" si="17"/>
        <v>1580960.8770825299</v>
      </c>
      <c r="X20" s="25">
        <f t="shared" si="17"/>
        <v>295.23191908145577</v>
      </c>
    </row>
    <row r="21" spans="1:24" x14ac:dyDescent="0.2">
      <c r="A21" s="10">
        <v>18</v>
      </c>
      <c r="B21" s="15">
        <f t="shared" si="18"/>
        <v>802.48875135330752</v>
      </c>
      <c r="C21" s="27">
        <f t="shared" si="19"/>
        <v>222.93635298061992</v>
      </c>
      <c r="D21" s="19">
        <f t="shared" si="2"/>
        <v>0</v>
      </c>
      <c r="E21" s="20">
        <f t="shared" si="1"/>
        <v>174.60214877660846</v>
      </c>
      <c r="F21" s="27" cm="1">
        <f t="array" ref="F21">SUM(pHealthyStage1*C20,(1-SUM(pStage1Remission,pStage1Stage2))*F20,pStage2Stage1*I20,pRemissionStage1_trtB*O20)</f>
        <v>123.00677085011289</v>
      </c>
      <c r="G21" s="19">
        <f t="shared" si="3"/>
        <v>154140.82964831585</v>
      </c>
      <c r="H21" s="20">
        <f t="shared" si="4"/>
        <v>84.777456306573711</v>
      </c>
      <c r="I21" s="27" cm="1">
        <f t="array" ref="I21">SUM(pHealthyStage2*C20,pStage1Stage2*F20,(1-SUM(pStage2Remission, pStage2Stage1, pStage2Stage3))*I20,pStage3Stage2*L20,pRemissionStage2_trtB*O20)</f>
        <v>72.359439738976576</v>
      </c>
      <c r="J21" s="19">
        <f t="shared" si="5"/>
        <v>408034.02924297797</v>
      </c>
      <c r="K21" s="20">
        <f t="shared" si="6"/>
        <v>40.236688994793653</v>
      </c>
      <c r="L21" s="27">
        <f t="shared" si="7"/>
        <v>27.235064198269789</v>
      </c>
      <c r="M21" s="19">
        <f t="shared" si="8"/>
        <v>494863.10996934574</v>
      </c>
      <c r="N21" s="20">
        <f t="shared" si="9"/>
        <v>7.678910327110537</v>
      </c>
      <c r="O21" s="27">
        <f t="shared" si="10"/>
        <v>344.44855844849172</v>
      </c>
      <c r="P21" s="19">
        <f t="shared" si="11"/>
        <v>2050249.221782973</v>
      </c>
      <c r="Q21" s="20">
        <f t="shared" si="12"/>
        <v>256.28115272287158</v>
      </c>
      <c r="R21" s="27">
        <f t="shared" si="13"/>
        <v>210.01381378352966</v>
      </c>
      <c r="S21" s="19">
        <f t="shared" si="14"/>
        <v>0</v>
      </c>
      <c r="T21" s="23">
        <f t="shared" si="15"/>
        <v>0</v>
      </c>
      <c r="U21" s="49">
        <f t="shared" si="16"/>
        <v>0</v>
      </c>
      <c r="V21" s="54">
        <v>1.3333333333333333</v>
      </c>
      <c r="W21" s="13">
        <f t="shared" si="17"/>
        <v>3107287.1906436128</v>
      </c>
      <c r="X21" s="25">
        <f t="shared" si="17"/>
        <v>563.57635712795798</v>
      </c>
    </row>
    <row r="22" spans="1:24" x14ac:dyDescent="0.2">
      <c r="A22" s="10">
        <v>19</v>
      </c>
      <c r="B22" s="15">
        <f t="shared" si="18"/>
        <v>789.98618621647097</v>
      </c>
      <c r="C22" s="27">
        <f t="shared" si="19"/>
        <v>205.10144474217034</v>
      </c>
      <c r="D22" s="19">
        <f t="shared" si="2"/>
        <v>0</v>
      </c>
      <c r="E22" s="20">
        <f t="shared" si="1"/>
        <v>77.977658676931924</v>
      </c>
      <c r="F22" s="27" cm="1">
        <f t="array" ref="F22">SUM(pHealthyStage1*C21,(1-SUM(pStage1Remission,pStage1Stage2))*F21,pStage2Stage1*I21,pRemissionStage1_trtB*O21)</f>
        <v>122.27507536443254</v>
      </c>
      <c r="G22" s="19">
        <f t="shared" si="3"/>
        <v>74380.551368224988</v>
      </c>
      <c r="H22" s="20">
        <f t="shared" si="4"/>
        <v>40.909303252523735</v>
      </c>
      <c r="I22" s="27" cm="1">
        <f t="array" ref="I22">SUM(pHealthyStage2*C21,pStage1Stage2*F21,(1-SUM(pStage2Remission, pStage2Stage1, pStage2Stage3))*I21,pStage3Stage2*L21,pRemissionStage2_trtB*O21)</f>
        <v>71.870277951377872</v>
      </c>
      <c r="J22" s="19">
        <f t="shared" si="5"/>
        <v>196735.75324204791</v>
      </c>
      <c r="K22" s="20">
        <f t="shared" si="6"/>
        <v>19.400331222479725</v>
      </c>
      <c r="L22" s="27">
        <f t="shared" si="7"/>
        <v>26.70081158978758</v>
      </c>
      <c r="M22" s="19">
        <f t="shared" si="8"/>
        <v>235512.47619819679</v>
      </c>
      <c r="N22" s="20">
        <f t="shared" si="9"/>
        <v>3.6545039410065012</v>
      </c>
      <c r="O22" s="27">
        <f t="shared" si="10"/>
        <v>351.78279767948118</v>
      </c>
      <c r="P22" s="19">
        <f t="shared" si="11"/>
        <v>1016458.5242130338</v>
      </c>
      <c r="Q22" s="20">
        <f t="shared" si="12"/>
        <v>127.05731552662922</v>
      </c>
      <c r="R22" s="27">
        <f t="shared" si="13"/>
        <v>222.26959267275106</v>
      </c>
      <c r="S22" s="19">
        <f t="shared" si="14"/>
        <v>0</v>
      </c>
      <c r="T22" s="23">
        <f t="shared" si="15"/>
        <v>0</v>
      </c>
      <c r="U22" s="49">
        <f t="shared" si="16"/>
        <v>0</v>
      </c>
      <c r="V22" s="54">
        <v>0.66666666666666663</v>
      </c>
      <c r="W22" s="13">
        <f t="shared" si="17"/>
        <v>1523087.3050215035</v>
      </c>
      <c r="X22" s="25">
        <f t="shared" si="17"/>
        <v>268.99911261957112</v>
      </c>
    </row>
    <row r="23" spans="1:24" x14ac:dyDescent="0.2">
      <c r="A23" s="10">
        <v>20</v>
      </c>
      <c r="B23" s="15">
        <f t="shared" si="18"/>
        <v>777.73040732724951</v>
      </c>
      <c r="C23" s="27">
        <f t="shared" si="19"/>
        <v>188.69332916279672</v>
      </c>
      <c r="D23" s="19">
        <f t="shared" si="2"/>
        <v>0</v>
      </c>
      <c r="E23" s="20">
        <f t="shared" si="1"/>
        <v>139.29989511218909</v>
      </c>
      <c r="F23" s="27" cm="1">
        <f t="array" ref="F23">SUM(pHealthyStage1*C22,(1-SUM(pStage1Remission,pStage1Stage2))*F22,pStage2Stage1*I22,pRemissionStage1_trtB*O22)</f>
        <v>121.47000893591706</v>
      </c>
      <c r="G23" s="19">
        <f t="shared" si="3"/>
        <v>143477.33079171143</v>
      </c>
      <c r="H23" s="20">
        <f t="shared" si="4"/>
        <v>78.912531935441265</v>
      </c>
      <c r="I23" s="27" cm="1">
        <f t="array" ref="I23">SUM(pHealthyStage2*C22,pStage1Stage2*F22,(1-SUM(pStage2Remission, pStage2Stage1, pStage2Stage3))*I22,pStage3Stage2*L22,pRemissionStage2_trtB*O22)</f>
        <v>71.340227711987197</v>
      </c>
      <c r="J23" s="19">
        <f t="shared" si="5"/>
        <v>379193.80206969008</v>
      </c>
      <c r="K23" s="20">
        <f t="shared" si="6"/>
        <v>37.39272214853888</v>
      </c>
      <c r="L23" s="27">
        <f t="shared" si="7"/>
        <v>26.181961935022173</v>
      </c>
      <c r="M23" s="19">
        <f t="shared" si="8"/>
        <v>448419.4219659607</v>
      </c>
      <c r="N23" s="20">
        <f t="shared" si="9"/>
        <v>6.9582324098166302</v>
      </c>
      <c r="O23" s="27">
        <f t="shared" si="10"/>
        <v>358.02951436612199</v>
      </c>
      <c r="P23" s="19">
        <f t="shared" si="11"/>
        <v>2008753.5820613154</v>
      </c>
      <c r="Q23" s="20">
        <f t="shared" si="12"/>
        <v>251.09419775766443</v>
      </c>
      <c r="R23" s="27">
        <f t="shared" si="13"/>
        <v>234.28495788815547</v>
      </c>
      <c r="S23" s="19">
        <f t="shared" si="14"/>
        <v>0</v>
      </c>
      <c r="T23" s="23">
        <f t="shared" si="15"/>
        <v>0</v>
      </c>
      <c r="U23" s="49">
        <f t="shared" si="16"/>
        <v>0</v>
      </c>
      <c r="V23" s="54">
        <v>1.3333333333333333</v>
      </c>
      <c r="W23" s="13">
        <f t="shared" si="17"/>
        <v>2979844.1368886777</v>
      </c>
      <c r="X23" s="25">
        <f t="shared" si="17"/>
        <v>513.65757936365026</v>
      </c>
    </row>
    <row r="24" spans="1:24" x14ac:dyDescent="0.2">
      <c r="A24" s="10">
        <v>21</v>
      </c>
      <c r="B24" s="15">
        <f t="shared" si="18"/>
        <v>765.71504211184515</v>
      </c>
      <c r="C24" s="27">
        <f t="shared" si="19"/>
        <v>173.59786282977299</v>
      </c>
      <c r="D24" s="19">
        <f t="shared" si="2"/>
        <v>0</v>
      </c>
      <c r="E24" s="20">
        <f t="shared" si="1"/>
        <v>62.21160364233689</v>
      </c>
      <c r="F24" s="27" cm="1">
        <f t="array" ref="F24">SUM(pHealthyStage1*C23,(1-SUM(pStage1Remission,pStage1Stage2))*F23,pStage2Stage1*I23,pRemissionStage1_trtB*O23)</f>
        <v>120.59954480137503</v>
      </c>
      <c r="G24" s="19">
        <f t="shared" si="3"/>
        <v>69150.077848471221</v>
      </c>
      <c r="H24" s="20">
        <f t="shared" si="4"/>
        <v>38.032542816659166</v>
      </c>
      <c r="I24" s="27" cm="1">
        <f t="array" ref="I24">SUM(pHealthyStage2*C23,pStage1Stage2*F23,(1-SUM(pStage2Remission, pStage2Stage1, pStage2Stage3))*I23,pStage3Stage2*L23,pRemissionStage2_trtB*O23)</f>
        <v>70.774987631774721</v>
      </c>
      <c r="J24" s="19">
        <f t="shared" si="5"/>
        <v>182616.20809888031</v>
      </c>
      <c r="K24" s="20">
        <f t="shared" si="6"/>
        <v>18.007987187528474</v>
      </c>
      <c r="L24" s="27">
        <f t="shared" si="7"/>
        <v>25.678948415937132</v>
      </c>
      <c r="M24" s="19">
        <f t="shared" si="8"/>
        <v>213497.22863237467</v>
      </c>
      <c r="N24" s="20">
        <f t="shared" si="9"/>
        <v>3.3128880305023647</v>
      </c>
      <c r="O24" s="27">
        <f t="shared" si="10"/>
        <v>363.28181556222529</v>
      </c>
      <c r="P24" s="19">
        <f t="shared" si="11"/>
        <v>989428.17632578046</v>
      </c>
      <c r="Q24" s="20">
        <f t="shared" si="12"/>
        <v>123.67852204072254</v>
      </c>
      <c r="R24" s="27">
        <f t="shared" si="13"/>
        <v>246.06684075891545</v>
      </c>
      <c r="S24" s="19">
        <f t="shared" si="14"/>
        <v>0</v>
      </c>
      <c r="T24" s="23">
        <f t="shared" si="15"/>
        <v>0</v>
      </c>
      <c r="U24" s="49">
        <f t="shared" si="16"/>
        <v>0</v>
      </c>
      <c r="V24" s="54">
        <v>0.66666666666666663</v>
      </c>
      <c r="W24" s="13">
        <f t="shared" si="17"/>
        <v>1454691.6909055067</v>
      </c>
      <c r="X24" s="25">
        <f t="shared" si="17"/>
        <v>245.24354371774945</v>
      </c>
    </row>
    <row r="25" spans="1:24" x14ac:dyDescent="0.2">
      <c r="A25" s="10">
        <v>22</v>
      </c>
      <c r="B25" s="15">
        <f t="shared" si="18"/>
        <v>753.93315924108515</v>
      </c>
      <c r="C25" s="27">
        <f t="shared" si="19"/>
        <v>159.71003380339116</v>
      </c>
      <c r="D25" s="19">
        <f t="shared" si="2"/>
        <v>0</v>
      </c>
      <c r="E25" s="20">
        <f t="shared" si="1"/>
        <v>111.13529194359209</v>
      </c>
      <c r="F25" s="27" cm="1">
        <f t="array" ref="F25">SUM(pHealthyStage1*C24,(1-SUM(pStage1Remission,pStage1Stage2))*F24,pStage2Stage1*I24,pRemissionStage1_trtB*O24)</f>
        <v>119.67089188894917</v>
      </c>
      <c r="G25" s="19">
        <f t="shared" si="3"/>
        <v>133238.06090831617</v>
      </c>
      <c r="H25" s="20">
        <f t="shared" si="4"/>
        <v>73.280933499573891</v>
      </c>
      <c r="I25" s="27" cm="1">
        <f t="array" ref="I25">SUM(pHealthyStage2*C24,pStage1Stage2*F24,(1-SUM(pStage2Remission, pStage2Stage1, pStage2Stage3))*I24,pStage3Stage2*L24,pRemissionStage2_trtB*O24)</f>
        <v>70.179306203461408</v>
      </c>
      <c r="J25" s="19">
        <f t="shared" si="5"/>
        <v>351610.11479740054</v>
      </c>
      <c r="K25" s="20">
        <f t="shared" si="6"/>
        <v>34.672664098076993</v>
      </c>
      <c r="L25" s="27">
        <f t="shared" si="7"/>
        <v>25.191700981032504</v>
      </c>
      <c r="M25" s="19">
        <f t="shared" si="8"/>
        <v>406691.66396569886</v>
      </c>
      <c r="N25" s="20">
        <f t="shared" si="9"/>
        <v>6.3107327167091212</v>
      </c>
      <c r="O25" s="27">
        <f t="shared" si="10"/>
        <v>367.62569957707922</v>
      </c>
      <c r="P25" s="19">
        <f t="shared" si="11"/>
        <v>1944192.4368420516</v>
      </c>
      <c r="Q25" s="20">
        <f t="shared" si="12"/>
        <v>243.02405460525645</v>
      </c>
      <c r="R25" s="27">
        <f t="shared" si="13"/>
        <v>257.62236754608716</v>
      </c>
      <c r="S25" s="19">
        <f t="shared" si="14"/>
        <v>0</v>
      </c>
      <c r="T25" s="23">
        <f t="shared" si="15"/>
        <v>0</v>
      </c>
      <c r="U25" s="49">
        <f t="shared" si="16"/>
        <v>0</v>
      </c>
      <c r="V25" s="54">
        <v>1.3333333333333333</v>
      </c>
      <c r="W25" s="13">
        <f t="shared" si="17"/>
        <v>2835732.2765134671</v>
      </c>
      <c r="X25" s="25">
        <f t="shared" si="17"/>
        <v>468.42367686320853</v>
      </c>
    </row>
    <row r="26" spans="1:24" x14ac:dyDescent="0.2">
      <c r="A26" s="10">
        <v>23</v>
      </c>
      <c r="B26" s="15">
        <f t="shared" si="18"/>
        <v>742.37763245391352</v>
      </c>
      <c r="C26" s="27">
        <f t="shared" si="19"/>
        <v>146.93323109911987</v>
      </c>
      <c r="D26" s="19">
        <f t="shared" si="2"/>
        <v>0</v>
      </c>
      <c r="E26" s="20">
        <f t="shared" si="1"/>
        <v>49.633237178691623</v>
      </c>
      <c r="F26" s="27" cm="1">
        <f t="array" ref="F26">SUM(pHealthyStage1*C25,(1-SUM(pStage1Remission,pStage1Stage2))*F25,pStage2Stage1*I25,pRemissionStage1_trtB*O25)</f>
        <v>118.69060269432593</v>
      </c>
      <c r="G26" s="19">
        <f t="shared" si="3"/>
        <v>64148.852268119714</v>
      </c>
      <c r="H26" s="20">
        <f t="shared" si="4"/>
        <v>35.281868747465843</v>
      </c>
      <c r="I26" s="27" cm="1">
        <f t="array" ref="I26">SUM(pHealthyStage2*C25,pStage1Stage2*F25,(1-SUM(pStage2Remission, pStage2Stage1, pStage2Stage3))*I25,pStage3Stage2*L25,pRemissionStage2_trtB*O25)</f>
        <v>69.557229623403586</v>
      </c>
      <c r="J26" s="19">
        <f t="shared" si="5"/>
        <v>169171.55661027893</v>
      </c>
      <c r="K26" s="20">
        <f t="shared" si="6"/>
        <v>16.682195165735841</v>
      </c>
      <c r="L26" s="27">
        <f t="shared" si="7"/>
        <v>24.719846759069377</v>
      </c>
      <c r="M26" s="19">
        <f t="shared" si="8"/>
        <v>193725.29540412934</v>
      </c>
      <c r="N26" s="20">
        <f t="shared" si="9"/>
        <v>3.0060821700640759</v>
      </c>
      <c r="O26" s="27">
        <f t="shared" si="10"/>
        <v>371.14045683653006</v>
      </c>
      <c r="P26" s="19">
        <f t="shared" si="11"/>
        <v>952805.95540331828</v>
      </c>
      <c r="Q26" s="20">
        <f t="shared" si="12"/>
        <v>119.10074442541479</v>
      </c>
      <c r="R26" s="27">
        <f t="shared" si="13"/>
        <v>268.95863298755177</v>
      </c>
      <c r="S26" s="19">
        <f t="shared" si="14"/>
        <v>0</v>
      </c>
      <c r="T26" s="23">
        <f t="shared" si="15"/>
        <v>0</v>
      </c>
      <c r="U26" s="49">
        <f t="shared" si="16"/>
        <v>0</v>
      </c>
      <c r="V26" s="54">
        <v>0.66666666666666663</v>
      </c>
      <c r="W26" s="13">
        <f t="shared" si="17"/>
        <v>1379851.6596858464</v>
      </c>
      <c r="X26" s="25">
        <f t="shared" si="17"/>
        <v>223.70412768737219</v>
      </c>
    </row>
    <row r="27" spans="1:24" x14ac:dyDescent="0.2">
      <c r="A27" s="10">
        <v>24</v>
      </c>
      <c r="B27" s="15">
        <f t="shared" si="18"/>
        <v>731.04136701244875</v>
      </c>
      <c r="C27" s="27">
        <f t="shared" si="19"/>
        <v>135.17857261119028</v>
      </c>
      <c r="D27" s="19">
        <f t="shared" si="2"/>
        <v>0</v>
      </c>
      <c r="E27" s="20">
        <f t="shared" si="1"/>
        <v>88.665200396886007</v>
      </c>
      <c r="F27" s="27" cm="1">
        <f t="array" ref="F27">SUM(pHealthyStage1*C26,(1-SUM(pStage1Remission,pStage1Stage2))*F26,pStage2Stage1*I26,pRemissionStage1_trtB*O26)</f>
        <v>117.66465133436043</v>
      </c>
      <c r="G27" s="19">
        <f t="shared" si="3"/>
        <v>123484.18467412815</v>
      </c>
      <c r="H27" s="20">
        <f t="shared" si="4"/>
        <v>67.916301570770486</v>
      </c>
      <c r="I27" s="27" cm="1">
        <f t="array" ref="I27">SUM(pHealthyStage2*C26,pStage1Stage2*F26,(1-SUM(pStage2Remission, pStage2Stage1, pStage2Stage3))*I26,pStage3Stage2*L26,pRemissionStage2_trtB*O26)</f>
        <v>68.912268708506517</v>
      </c>
      <c r="J27" s="19">
        <f t="shared" si="5"/>
        <v>325442.59032391553</v>
      </c>
      <c r="K27" s="20">
        <f t="shared" si="6"/>
        <v>32.092255434719448</v>
      </c>
      <c r="L27" s="27">
        <f t="shared" si="7"/>
        <v>24.262840134036423</v>
      </c>
      <c r="M27" s="19">
        <f t="shared" si="8"/>
        <v>369211.28366826399</v>
      </c>
      <c r="N27" s="20">
        <f t="shared" si="9"/>
        <v>5.7291406086454764</v>
      </c>
      <c r="O27" s="27">
        <f t="shared" si="10"/>
        <v>373.89910318277396</v>
      </c>
      <c r="P27" s="19">
        <f t="shared" si="11"/>
        <v>1863860.3061392966</v>
      </c>
      <c r="Q27" s="20">
        <f t="shared" si="12"/>
        <v>232.98253826741208</v>
      </c>
      <c r="R27" s="27">
        <f t="shared" si="13"/>
        <v>280.08256402913298</v>
      </c>
      <c r="S27" s="19">
        <f t="shared" si="14"/>
        <v>0</v>
      </c>
      <c r="T27" s="23">
        <f t="shared" si="15"/>
        <v>0</v>
      </c>
      <c r="U27" s="49">
        <f t="shared" si="16"/>
        <v>0</v>
      </c>
      <c r="V27" s="54">
        <v>1.3333333333333333</v>
      </c>
      <c r="W27" s="13">
        <f t="shared" si="17"/>
        <v>2681998.3648056043</v>
      </c>
      <c r="X27" s="25">
        <f t="shared" si="17"/>
        <v>427.38543627843353</v>
      </c>
    </row>
    <row r="28" spans="1:24" x14ac:dyDescent="0.2">
      <c r="A28" s="10">
        <v>25</v>
      </c>
      <c r="B28" s="15">
        <f t="shared" si="18"/>
        <v>719.91743597086759</v>
      </c>
      <c r="C28" s="27">
        <f t="shared" si="19"/>
        <v>124.36428680229506</v>
      </c>
      <c r="D28" s="19">
        <f t="shared" si="2"/>
        <v>0</v>
      </c>
      <c r="E28" s="20">
        <f t="shared" si="1"/>
        <v>39.598050662686958</v>
      </c>
      <c r="F28" s="27" cm="1">
        <f t="array" ref="F28">SUM(pHealthyStage1*C27,(1-SUM(pStage1Remission,pStage1Stage2))*F27,pStage2Stage1*I27,pRemissionStage1_trtB*O27)</f>
        <v>116.59849368794103</v>
      </c>
      <c r="G28" s="19">
        <f t="shared" si="3"/>
        <v>59400.629283073176</v>
      </c>
      <c r="H28" s="20">
        <f t="shared" si="4"/>
        <v>32.67034610569025</v>
      </c>
      <c r="I28" s="27" cm="1">
        <f t="array" ref="I28">SUM(pHealthyStage2*C27,pStage1Stage2*F27,(1-SUM(pStage2Remission, pStage2Stage1, pStage2Stage3))*I27,pStage3Stage2*L27,pRemissionStage2_trtB*O27)</f>
        <v>68.247512912948793</v>
      </c>
      <c r="J28" s="19">
        <f t="shared" si="5"/>
        <v>156457.88282631058</v>
      </c>
      <c r="K28" s="20">
        <f t="shared" si="6"/>
        <v>15.428485667594519</v>
      </c>
      <c r="L28" s="27">
        <f t="shared" si="7"/>
        <v>23.820046099406092</v>
      </c>
      <c r="M28" s="19">
        <f t="shared" si="8"/>
        <v>175957.87393985537</v>
      </c>
      <c r="N28" s="20">
        <f t="shared" si="9"/>
        <v>2.7303808025149969</v>
      </c>
      <c r="O28" s="27">
        <f t="shared" si="10"/>
        <v>375.96881840796021</v>
      </c>
      <c r="P28" s="19">
        <f t="shared" si="11"/>
        <v>909794.99447119469</v>
      </c>
      <c r="Q28" s="20">
        <f t="shared" si="12"/>
        <v>113.72437430889933</v>
      </c>
      <c r="R28" s="27">
        <f t="shared" si="13"/>
        <v>291.00084208944935</v>
      </c>
      <c r="S28" s="19">
        <f t="shared" si="14"/>
        <v>0</v>
      </c>
      <c r="T28" s="23">
        <f t="shared" si="15"/>
        <v>0</v>
      </c>
      <c r="U28" s="49">
        <f t="shared" si="16"/>
        <v>0</v>
      </c>
      <c r="V28" s="54">
        <v>0.66666666666666663</v>
      </c>
      <c r="W28" s="13">
        <f t="shared" si="17"/>
        <v>1301611.3805204339</v>
      </c>
      <c r="X28" s="25">
        <f t="shared" si="17"/>
        <v>204.15163754738606</v>
      </c>
    </row>
    <row r="29" spans="1:24" x14ac:dyDescent="0.2">
      <c r="A29" s="10">
        <v>26</v>
      </c>
      <c r="B29" s="15">
        <f t="shared" si="18"/>
        <v>708.99915791055128</v>
      </c>
      <c r="C29" s="27">
        <f t="shared" si="19"/>
        <v>114.41514385811145</v>
      </c>
      <c r="D29" s="19">
        <f t="shared" si="2"/>
        <v>0</v>
      </c>
      <c r="E29" s="20">
        <f t="shared" si="1"/>
        <v>70.738265261499009</v>
      </c>
      <c r="F29" s="27" cm="1">
        <f t="array" ref="F29">SUM(pHealthyStage1*C28,(1-SUM(pStage1Remission,pStage1Stage2))*F28,pStage2Stage1*I28,pRemissionStage1_trtB*O28)</f>
        <v>115.49711635556069</v>
      </c>
      <c r="G29" s="19">
        <f t="shared" si="3"/>
        <v>114251.52829530655</v>
      </c>
      <c r="H29" s="20">
        <f t="shared" si="4"/>
        <v>62.838340562418601</v>
      </c>
      <c r="I29" s="27" cm="1">
        <f t="array" ref="I29">SUM(pHealthyStage2*C28,pStage1Stage2*F28,(1-SUM(pStage2Remission, pStage2Stage1, pStage2Stage3))*I28,pStage3Stage2*L28,pRemissionStage2_trtB*O28)</f>
        <v>67.565709709818393</v>
      </c>
      <c r="J29" s="19">
        <f t="shared" si="5"/>
        <v>300766.68814160017</v>
      </c>
      <c r="K29" s="20">
        <f t="shared" si="6"/>
        <v>29.658937302852241</v>
      </c>
      <c r="L29" s="27">
        <f t="shared" si="7"/>
        <v>23.390792854668316</v>
      </c>
      <c r="M29" s="19">
        <f t="shared" si="8"/>
        <v>335508.72768230649</v>
      </c>
      <c r="N29" s="20">
        <f t="shared" si="9"/>
        <v>5.206169912311652</v>
      </c>
      <c r="O29" s="27">
        <f t="shared" si="10"/>
        <v>377.41137438765963</v>
      </c>
      <c r="P29" s="19">
        <f t="shared" si="11"/>
        <v>1773370.4657059556</v>
      </c>
      <c r="Q29" s="20">
        <f t="shared" si="12"/>
        <v>221.6713082132444</v>
      </c>
      <c r="R29" s="27">
        <f t="shared" si="13"/>
        <v>301.71986283418209</v>
      </c>
      <c r="S29" s="19">
        <f t="shared" si="14"/>
        <v>0</v>
      </c>
      <c r="T29" s="23">
        <f t="shared" si="15"/>
        <v>0</v>
      </c>
      <c r="U29" s="49">
        <f t="shared" si="16"/>
        <v>0</v>
      </c>
      <c r="V29" s="54">
        <v>1.3333333333333333</v>
      </c>
      <c r="W29" s="13">
        <f t="shared" si="17"/>
        <v>2523897.4098251686</v>
      </c>
      <c r="X29" s="25">
        <f t="shared" si="17"/>
        <v>390.11302125232589</v>
      </c>
    </row>
    <row r="30" spans="1:24" x14ac:dyDescent="0.2">
      <c r="A30" s="10">
        <v>27</v>
      </c>
      <c r="B30" s="15">
        <f t="shared" si="18"/>
        <v>698.28013716581847</v>
      </c>
      <c r="C30" s="27">
        <f t="shared" si="19"/>
        <v>105.26193234946254</v>
      </c>
      <c r="D30" s="19">
        <f t="shared" si="2"/>
        <v>0</v>
      </c>
      <c r="E30" s="20">
        <f t="shared" si="1"/>
        <v>31.591846621640347</v>
      </c>
      <c r="F30" s="27" cm="1">
        <f t="array" ref="F30">SUM(pHealthyStage1*C29,(1-SUM(pStage1Remission,pStage1Stage2))*F29,pStage2Stage1*I29,pRemissionStage1_trtB*O29)</f>
        <v>114.36507826052372</v>
      </c>
      <c r="G30" s="19">
        <f t="shared" si="3"/>
        <v>54918.300367634205</v>
      </c>
      <c r="H30" s="20">
        <f t="shared" si="4"/>
        <v>30.205065202198814</v>
      </c>
      <c r="I30" s="27" cm="1">
        <f t="array" ref="I30">SUM(pHealthyStage2*C29,pStage1Stage2*F29,(1-SUM(pStage2Remission, pStage2Stage1, pStage2Stage3))*I29,pStage3Stage2*L29,pRemissionStage2_trtB*O29)</f>
        <v>66.869321212972537</v>
      </c>
      <c r="J30" s="19">
        <f t="shared" si="5"/>
        <v>144498.41556744283</v>
      </c>
      <c r="K30" s="20">
        <f t="shared" si="6"/>
        <v>14.249149312900611</v>
      </c>
      <c r="L30" s="27">
        <f t="shared" si="7"/>
        <v>22.974404322388033</v>
      </c>
      <c r="M30" s="19">
        <f t="shared" si="8"/>
        <v>159969.03267812033</v>
      </c>
      <c r="N30" s="20">
        <f t="shared" si="9"/>
        <v>2.4822780932811765</v>
      </c>
      <c r="O30" s="27">
        <f t="shared" si="10"/>
        <v>378.28354423587092</v>
      </c>
      <c r="P30" s="19">
        <f t="shared" si="11"/>
        <v>862848.83206201915</v>
      </c>
      <c r="Q30" s="20">
        <f t="shared" si="12"/>
        <v>107.85610400775238</v>
      </c>
      <c r="R30" s="27">
        <f t="shared" si="13"/>
        <v>312.24571961878286</v>
      </c>
      <c r="S30" s="19">
        <f t="shared" si="14"/>
        <v>0</v>
      </c>
      <c r="T30" s="23">
        <f t="shared" si="15"/>
        <v>0</v>
      </c>
      <c r="U30" s="49">
        <f t="shared" si="16"/>
        <v>0</v>
      </c>
      <c r="V30" s="54">
        <v>0.66666666666666663</v>
      </c>
      <c r="W30" s="13">
        <f t="shared" si="17"/>
        <v>1222234.5806752164</v>
      </c>
      <c r="X30" s="25">
        <f t="shared" si="17"/>
        <v>186.38444323777333</v>
      </c>
    </row>
    <row r="31" spans="1:24" x14ac:dyDescent="0.2">
      <c r="A31" s="10">
        <v>28</v>
      </c>
      <c r="B31" s="15">
        <f t="shared" si="18"/>
        <v>687.75428038121777</v>
      </c>
      <c r="C31" s="27">
        <f t="shared" si="19"/>
        <v>96.840977761505542</v>
      </c>
      <c r="D31" s="19">
        <f t="shared" si="2"/>
        <v>0</v>
      </c>
      <c r="E31" s="20">
        <f t="shared" si="1"/>
        <v>56.435920178464308</v>
      </c>
      <c r="F31" s="27" cm="1">
        <f t="array" ref="F31">SUM(pHealthyStage1*C30,(1-SUM(pStage1Remission,pStage1Stage2))*F30,pStage2Stage1*I30,pRemissionStage1_trtB*O30)</f>
        <v>113.20654708633185</v>
      </c>
      <c r="G31" s="19">
        <f t="shared" si="3"/>
        <v>105557.22674800816</v>
      </c>
      <c r="H31" s="20">
        <f t="shared" si="4"/>
        <v>58.056474711404491</v>
      </c>
      <c r="I31" s="27" cm="1">
        <f t="array" ref="I31">SUM(pHealthyStage2*C30,pStage1Stage2*F30,(1-SUM(pStage2Remission, pStage2Stage1, pStage2Stage3))*I30,pStage3Stage2*L30,pRemissionStage2_trtB*O30)</f>
        <v>66.160565744020673</v>
      </c>
      <c r="J31" s="19">
        <f t="shared" si="5"/>
        <v>277605.55452782434</v>
      </c>
      <c r="K31" s="20">
        <f t="shared" si="6"/>
        <v>27.374992182604899</v>
      </c>
      <c r="L31" s="27">
        <f t="shared" si="7"/>
        <v>22.570219666634522</v>
      </c>
      <c r="M31" s="19">
        <f t="shared" si="8"/>
        <v>305154.80701529724</v>
      </c>
      <c r="N31" s="20">
        <f t="shared" si="9"/>
        <v>4.7351607985132329</v>
      </c>
      <c r="O31" s="27">
        <f t="shared" si="10"/>
        <v>378.63748817765054</v>
      </c>
      <c r="P31" s="19">
        <f t="shared" si="11"/>
        <v>1677002.2588077681</v>
      </c>
      <c r="Q31" s="20">
        <f t="shared" si="12"/>
        <v>209.62528235097099</v>
      </c>
      <c r="R31" s="27">
        <f t="shared" si="13"/>
        <v>322.58420156385745</v>
      </c>
      <c r="S31" s="19">
        <f t="shared" si="14"/>
        <v>0</v>
      </c>
      <c r="T31" s="23">
        <f t="shared" si="15"/>
        <v>0</v>
      </c>
      <c r="U31" s="49">
        <f t="shared" si="16"/>
        <v>0</v>
      </c>
      <c r="V31" s="54">
        <v>1.3333333333333333</v>
      </c>
      <c r="W31" s="13">
        <f t="shared" si="17"/>
        <v>2365319.8470988981</v>
      </c>
      <c r="X31" s="25">
        <f t="shared" si="17"/>
        <v>356.2278302219579</v>
      </c>
    </row>
    <row r="32" spans="1:24" x14ac:dyDescent="0.2">
      <c r="A32" s="10">
        <v>29</v>
      </c>
      <c r="B32" s="15">
        <f t="shared" si="18"/>
        <v>677.41579843614318</v>
      </c>
      <c r="C32" s="27">
        <f t="shared" si="19"/>
        <v>89.093699540585106</v>
      </c>
      <c r="D32" s="19">
        <f t="shared" si="2"/>
        <v>0</v>
      </c>
      <c r="E32" s="20">
        <f t="shared" si="1"/>
        <v>25.20439153601319</v>
      </c>
      <c r="F32" s="27" cm="1">
        <f t="array" ref="F32">SUM(pHealthyStage1*C31,(1-SUM(pStage1Remission,pStage1Stage2))*F31,pStage2Stage1*I31,pRemissionStage1_trtB*O31)</f>
        <v>112.02533183560408</v>
      </c>
      <c r="G32" s="19">
        <f t="shared" si="3"/>
        <v>50706.711520046963</v>
      </c>
      <c r="H32" s="20">
        <f t="shared" si="4"/>
        <v>27.888691336025826</v>
      </c>
      <c r="I32" s="27" cm="1">
        <f t="array" ref="I32">SUM(pHealthyStage2*C31,pStage1Stage2*F31,(1-SUM(pStage2Remission, pStage2Stage1, pStage2Stage3))*I31,pStage3Stage2*L31,pRemissionStage2_trtB*O31)</f>
        <v>65.441449338936934</v>
      </c>
      <c r="J32" s="19">
        <f t="shared" si="5"/>
        <v>133295.23665939938</v>
      </c>
      <c r="K32" s="20">
        <f t="shared" si="6"/>
        <v>13.144391392801884</v>
      </c>
      <c r="L32" s="27">
        <f t="shared" si="7"/>
        <v>22.177604472535418</v>
      </c>
      <c r="M32" s="19">
        <f t="shared" si="8"/>
        <v>145556.58010234669</v>
      </c>
      <c r="N32" s="20">
        <f t="shared" si="9"/>
        <v>2.2586365877950341</v>
      </c>
      <c r="O32" s="27">
        <f t="shared" si="10"/>
        <v>378.52111439849608</v>
      </c>
      <c r="P32" s="19">
        <f t="shared" si="11"/>
        <v>813828.56027629052</v>
      </c>
      <c r="Q32" s="20">
        <f t="shared" si="12"/>
        <v>101.72857003453632</v>
      </c>
      <c r="R32" s="27">
        <f t="shared" si="13"/>
        <v>332.74080041384298</v>
      </c>
      <c r="S32" s="19">
        <f t="shared" si="14"/>
        <v>0</v>
      </c>
      <c r="T32" s="23">
        <f t="shared" si="15"/>
        <v>0</v>
      </c>
      <c r="U32" s="49">
        <f t="shared" si="16"/>
        <v>0</v>
      </c>
      <c r="V32" s="54">
        <v>0.66666666666666663</v>
      </c>
      <c r="W32" s="13">
        <f t="shared" si="17"/>
        <v>1143387.0885580834</v>
      </c>
      <c r="X32" s="25">
        <f t="shared" si="17"/>
        <v>170.22468088717227</v>
      </c>
    </row>
    <row r="33" spans="1:24" ht="16" thickBot="1" x14ac:dyDescent="0.25">
      <c r="A33" s="11">
        <v>30</v>
      </c>
      <c r="B33" s="16">
        <f t="shared" si="18"/>
        <v>667.25919958615759</v>
      </c>
      <c r="C33" s="28">
        <f t="shared" si="19"/>
        <v>81.966203577338305</v>
      </c>
      <c r="D33" s="21">
        <f t="shared" si="2"/>
        <v>0</v>
      </c>
      <c r="E33" s="22">
        <f t="shared" si="1"/>
        <v>11.256330200549581</v>
      </c>
      <c r="F33" s="28" cm="1">
        <f t="array" ref="F33">SUM(pHealthyStage1*C32,(1-SUM(pStage1Remission,pStage1Stage2))*F32,pStage2Stage1*I32,pRemissionStage1_trtB*O32)</f>
        <v>110.82491228899845</v>
      </c>
      <c r="G33" s="21">
        <f t="shared" si="3"/>
        <v>24351.144793375504</v>
      </c>
      <c r="H33" s="22">
        <f t="shared" si="4"/>
        <v>13.39312963635653</v>
      </c>
      <c r="I33" s="28" cm="1">
        <f t="array" ref="I33">SUM(pHealthyStage2*C32,pStage1Stage2*F32,(1-SUM(pStage2Remission, pStage2Stage1, pStage2Stage3))*I32,pStage3Stage2*L32,pRemissionStage2_trtB*O32)</f>
        <v>64.713790433315921</v>
      </c>
      <c r="J33" s="21">
        <f t="shared" si="5"/>
        <v>63986.939559871971</v>
      </c>
      <c r="K33" s="22">
        <f t="shared" si="6"/>
        <v>6.3098232065984856</v>
      </c>
      <c r="L33" s="28">
        <f t="shared" si="7"/>
        <v>21.795956632514098</v>
      </c>
      <c r="M33" s="21">
        <f t="shared" si="8"/>
        <v>69442.592203675449</v>
      </c>
      <c r="N33" s="22">
        <f t="shared" si="9"/>
        <v>1.0775574652294464</v>
      </c>
      <c r="O33" s="28">
        <f t="shared" si="10"/>
        <v>377.9784146413499</v>
      </c>
      <c r="P33" s="21">
        <f t="shared" si="11"/>
        <v>394495.99227812549</v>
      </c>
      <c r="Q33" s="22">
        <f t="shared" si="12"/>
        <v>49.311999034765698</v>
      </c>
      <c r="R33" s="28">
        <f t="shared" si="13"/>
        <v>342.72072242648392</v>
      </c>
      <c r="S33" s="21">
        <f t="shared" si="14"/>
        <v>0</v>
      </c>
      <c r="T33" s="24">
        <f t="shared" si="15"/>
        <v>0</v>
      </c>
      <c r="U33" s="49">
        <f t="shared" si="16"/>
        <v>0</v>
      </c>
      <c r="V33" s="54">
        <v>0.33333333333333331</v>
      </c>
      <c r="W33" s="13">
        <f t="shared" si="17"/>
        <v>552276.66883504845</v>
      </c>
      <c r="X33" s="25">
        <f t="shared" si="17"/>
        <v>81.348839543499736</v>
      </c>
    </row>
    <row r="34" spans="1:24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29" t="s">
        <v>80</v>
      </c>
      <c r="V34" s="53"/>
      <c r="W34" s="30">
        <f>SUM(W3:W33)</f>
        <v>58629019.240626246</v>
      </c>
      <c r="X34" s="31">
        <f>SUM(X3:X33)</f>
        <v>15525.699710957397</v>
      </c>
    </row>
    <row r="35" spans="1:24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8"/>
      <c r="V35" s="8"/>
      <c r="W35" s="7"/>
      <c r="X35" s="6"/>
    </row>
    <row r="36" spans="1:24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8"/>
      <c r="V36" s="8"/>
      <c r="W36" s="7"/>
      <c r="X36" s="6"/>
    </row>
    <row r="37" spans="1:24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8"/>
      <c r="V37" s="8"/>
      <c r="W37" s="7"/>
      <c r="X37" s="6"/>
    </row>
    <row r="38" spans="1:24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8"/>
      <c r="V38" s="8"/>
      <c r="W38" s="7"/>
      <c r="X38" s="6"/>
    </row>
    <row r="39" spans="1:24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8"/>
      <c r="V39" s="8"/>
      <c r="W39" s="7"/>
      <c r="X39" s="6"/>
    </row>
    <row r="40" spans="1:24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8"/>
      <c r="V40" s="8"/>
      <c r="W40" s="7"/>
      <c r="X40" s="6"/>
    </row>
    <row r="41" spans="1:24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8"/>
      <c r="V41" s="8"/>
      <c r="W41" s="7"/>
      <c r="X41" s="6"/>
    </row>
    <row r="42" spans="1:24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8"/>
      <c r="V42" s="8"/>
      <c r="W42" s="7"/>
      <c r="X42" s="6"/>
    </row>
    <row r="43" spans="1:24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8"/>
      <c r="V43" s="8"/>
      <c r="W43" s="7"/>
      <c r="X43" s="6"/>
    </row>
    <row r="44" spans="1:24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8"/>
      <c r="V44" s="8"/>
      <c r="W44" s="7"/>
      <c r="X44" s="6"/>
    </row>
    <row r="45" spans="1:24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8"/>
      <c r="V45" s="8"/>
      <c r="W45" s="7"/>
      <c r="X45" s="6"/>
    </row>
    <row r="46" spans="1:24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8"/>
      <c r="V46" s="8"/>
      <c r="W46" s="7"/>
      <c r="X46" s="6"/>
    </row>
    <row r="47" spans="1:24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8"/>
      <c r="V47" s="8"/>
      <c r="W47" s="7"/>
      <c r="X47" s="6"/>
    </row>
    <row r="48" spans="1:24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8"/>
      <c r="V48" s="8"/>
      <c r="W48" s="7"/>
      <c r="X48" s="6"/>
    </row>
    <row r="49" spans="2:24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8"/>
      <c r="V49" s="8"/>
      <c r="W49" s="7"/>
      <c r="X49" s="6"/>
    </row>
    <row r="50" spans="2:24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8"/>
      <c r="V50" s="8"/>
      <c r="W50" s="7"/>
      <c r="X50" s="6"/>
    </row>
    <row r="51" spans="2:24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8"/>
      <c r="V51" s="8"/>
      <c r="W51" s="7"/>
      <c r="X51" s="6"/>
    </row>
    <row r="52" spans="2:24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8"/>
      <c r="V52" s="8"/>
      <c r="W52" s="7"/>
      <c r="X52" s="6"/>
    </row>
    <row r="53" spans="2:24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8"/>
      <c r="V53" s="8"/>
      <c r="W53" s="7"/>
      <c r="X53" s="6"/>
    </row>
    <row r="54" spans="2:24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8"/>
      <c r="V54" s="8"/>
      <c r="W54" s="7"/>
      <c r="X54" s="6"/>
    </row>
    <row r="55" spans="2:24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8"/>
      <c r="V55" s="8"/>
      <c r="W55" s="7"/>
      <c r="X55" s="6"/>
    </row>
    <row r="56" spans="2:24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8"/>
      <c r="V56" s="8"/>
      <c r="W56" s="7"/>
      <c r="X56" s="6"/>
    </row>
    <row r="57" spans="2:24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8"/>
      <c r="V57" s="8"/>
      <c r="W57" s="7"/>
      <c r="X57" s="6"/>
    </row>
    <row r="58" spans="2:24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8"/>
      <c r="V58" s="8"/>
      <c r="W58" s="7"/>
      <c r="X58" s="6"/>
    </row>
    <row r="59" spans="2:24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8"/>
      <c r="V59" s="8"/>
      <c r="W59" s="7"/>
      <c r="X59" s="6"/>
    </row>
    <row r="60" spans="2:24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8"/>
      <c r="V60" s="8"/>
      <c r="W60" s="7"/>
      <c r="X60" s="6"/>
    </row>
    <row r="61" spans="2:24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8"/>
      <c r="V61" s="8"/>
      <c r="W61" s="7"/>
      <c r="X61" s="6"/>
    </row>
    <row r="62" spans="2:24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8"/>
      <c r="V62" s="8"/>
      <c r="W62" s="7"/>
      <c r="X62" s="6"/>
    </row>
    <row r="63" spans="2:24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8"/>
      <c r="V63" s="8"/>
      <c r="W63" s="7"/>
      <c r="X63" s="6"/>
    </row>
    <row r="64" spans="2:24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8"/>
      <c r="V64" s="8"/>
      <c r="W64" s="7"/>
      <c r="X64" s="6"/>
    </row>
    <row r="65" spans="2:24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8"/>
      <c r="V65" s="8"/>
      <c r="W65" s="7"/>
      <c r="X65" s="6"/>
    </row>
    <row r="66" spans="2:24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8"/>
      <c r="V66" s="8"/>
      <c r="W66" s="7"/>
      <c r="X66" s="6"/>
    </row>
    <row r="67" spans="2:24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8"/>
      <c r="V67" s="8"/>
      <c r="W67" s="7"/>
      <c r="X67" s="6"/>
    </row>
    <row r="68" spans="2:24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8"/>
      <c r="V68" s="8"/>
      <c r="W68" s="7"/>
      <c r="X68" s="6"/>
    </row>
    <row r="69" spans="2:24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8"/>
      <c r="V69" s="8"/>
      <c r="W69" s="7"/>
      <c r="X69" s="6"/>
    </row>
    <row r="70" spans="2:24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8"/>
      <c r="V70" s="8"/>
      <c r="W70" s="7"/>
      <c r="X70" s="6"/>
    </row>
    <row r="71" spans="2:24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8"/>
      <c r="V71" s="8"/>
      <c r="W71" s="7"/>
      <c r="X71" s="6"/>
    </row>
    <row r="72" spans="2:24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8"/>
      <c r="V72" s="8"/>
      <c r="W72" s="7"/>
      <c r="X72" s="6"/>
    </row>
    <row r="73" spans="2:24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8"/>
      <c r="V73" s="8"/>
      <c r="W73" s="7"/>
      <c r="X73" s="6"/>
    </row>
    <row r="74" spans="2:24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8"/>
      <c r="V74" s="8"/>
      <c r="W74" s="7"/>
      <c r="X74" s="6"/>
    </row>
    <row r="75" spans="2:24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8"/>
      <c r="V75" s="8"/>
      <c r="W75" s="7"/>
      <c r="X75" s="6"/>
    </row>
    <row r="76" spans="2:24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8"/>
      <c r="V76" s="8"/>
      <c r="W76" s="7"/>
      <c r="X76" s="6"/>
    </row>
    <row r="77" spans="2:24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8"/>
      <c r="V77" s="8"/>
      <c r="W77" s="7"/>
      <c r="X77" s="6"/>
    </row>
    <row r="78" spans="2:24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8"/>
      <c r="V78" s="8"/>
      <c r="W78" s="7"/>
      <c r="X78" s="6"/>
    </row>
    <row r="79" spans="2:24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8"/>
      <c r="V79" s="8"/>
      <c r="W79" s="7"/>
      <c r="X79" s="6"/>
    </row>
    <row r="80" spans="2:24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8"/>
      <c r="V80" s="8"/>
      <c r="W80" s="7"/>
      <c r="X80" s="6"/>
    </row>
    <row r="81" spans="2:24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8"/>
      <c r="V81" s="8"/>
      <c r="W81" s="7"/>
      <c r="X81" s="6"/>
    </row>
    <row r="82" spans="2:24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8"/>
      <c r="V82" s="8"/>
      <c r="W82" s="7"/>
      <c r="X82" s="6"/>
    </row>
    <row r="83" spans="2:24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8"/>
      <c r="V83" s="8"/>
      <c r="W83" s="7"/>
      <c r="X83" s="6"/>
    </row>
    <row r="84" spans="2:24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8"/>
      <c r="V84" s="8"/>
      <c r="W84" s="7"/>
      <c r="X84" s="6"/>
    </row>
    <row r="85" spans="2:24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8"/>
      <c r="V85" s="8"/>
      <c r="W85" s="7"/>
      <c r="X85" s="6"/>
    </row>
    <row r="86" spans="2:24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8"/>
      <c r="V86" s="8"/>
      <c r="W86" s="7"/>
      <c r="X86" s="6"/>
    </row>
    <row r="87" spans="2:24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8"/>
      <c r="V87" s="8"/>
      <c r="W87" s="7"/>
      <c r="X87" s="6"/>
    </row>
    <row r="88" spans="2:24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8"/>
      <c r="V88" s="8"/>
      <c r="W88" s="7"/>
      <c r="X88" s="6"/>
    </row>
    <row r="89" spans="2:24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8"/>
      <c r="V89" s="8"/>
      <c r="W89" s="7"/>
      <c r="X89" s="6"/>
    </row>
    <row r="90" spans="2:24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8"/>
      <c r="V90" s="8"/>
      <c r="W90" s="7"/>
      <c r="X90" s="6"/>
    </row>
    <row r="91" spans="2:24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8"/>
      <c r="V91" s="8"/>
      <c r="W91" s="7"/>
      <c r="X91" s="6"/>
    </row>
    <row r="92" spans="2:24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8"/>
      <c r="V92" s="8"/>
      <c r="W92" s="7"/>
      <c r="X92" s="6"/>
    </row>
    <row r="93" spans="2:24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8"/>
      <c r="V93" s="8"/>
      <c r="W93" s="7"/>
      <c r="X93" s="6"/>
    </row>
    <row r="94" spans="2:24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8"/>
      <c r="V94" s="8"/>
      <c r="W94" s="7"/>
      <c r="X94" s="6"/>
    </row>
    <row r="95" spans="2:24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8"/>
      <c r="V95" s="8"/>
      <c r="W95" s="7"/>
      <c r="X95" s="6"/>
    </row>
    <row r="96" spans="2:24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8"/>
      <c r="V96" s="8"/>
      <c r="W96" s="7"/>
      <c r="X96" s="6"/>
    </row>
    <row r="97" spans="2:24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8"/>
      <c r="V97" s="8"/>
      <c r="W97" s="7"/>
      <c r="X97" s="6"/>
    </row>
    <row r="98" spans="2:24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8"/>
      <c r="V98" s="8"/>
      <c r="W98" s="7"/>
      <c r="X98" s="6"/>
    </row>
    <row r="99" spans="2:24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8"/>
      <c r="V99" s="8"/>
      <c r="W99" s="7"/>
      <c r="X99" s="6"/>
    </row>
    <row r="100" spans="2:24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8"/>
      <c r="V100" s="8"/>
      <c r="W100" s="7"/>
      <c r="X100" s="6"/>
    </row>
    <row r="101" spans="2:24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8"/>
      <c r="V101" s="8"/>
      <c r="W101" s="7"/>
      <c r="X101" s="6"/>
    </row>
    <row r="102" spans="2:24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8"/>
      <c r="V102" s="8"/>
      <c r="W102" s="7"/>
      <c r="X102" s="6"/>
    </row>
    <row r="103" spans="2:24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8"/>
      <c r="V103" s="8"/>
      <c r="W103" s="7"/>
      <c r="X103" s="6"/>
    </row>
    <row r="104" spans="2:24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8"/>
      <c r="V104" s="8"/>
      <c r="W104" s="7"/>
      <c r="X104" s="6"/>
    </row>
    <row r="105" spans="2:24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8"/>
      <c r="V105" s="8"/>
      <c r="W105" s="7"/>
      <c r="X105" s="6"/>
    </row>
    <row r="106" spans="2:24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8"/>
      <c r="V106" s="8"/>
      <c r="W106" s="7"/>
      <c r="X106" s="6"/>
    </row>
    <row r="107" spans="2:24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8"/>
      <c r="V107" s="8"/>
      <c r="W107" s="7"/>
      <c r="X107" s="6"/>
    </row>
    <row r="108" spans="2:24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8"/>
      <c r="V108" s="8"/>
      <c r="W108" s="7"/>
      <c r="X108" s="6"/>
    </row>
    <row r="109" spans="2:24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8"/>
      <c r="V109" s="8"/>
      <c r="W109" s="7"/>
      <c r="X109" s="6"/>
    </row>
    <row r="110" spans="2:24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8"/>
      <c r="V110" s="8"/>
      <c r="W110" s="7"/>
      <c r="X110" s="6"/>
    </row>
    <row r="111" spans="2:24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8"/>
      <c r="V111" s="8"/>
      <c r="W111" s="7"/>
      <c r="X111" s="6"/>
    </row>
    <row r="112" spans="2:24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8"/>
      <c r="V112" s="8"/>
      <c r="W112" s="7"/>
      <c r="X112" s="6"/>
    </row>
    <row r="113" spans="2:24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8"/>
      <c r="V113" s="8"/>
      <c r="W113" s="7"/>
      <c r="X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1DDA-642D-2A4B-A6A0-6342222DEDFC}">
  <dimension ref="A1:Y113"/>
  <sheetViews>
    <sheetView workbookViewId="0">
      <selection activeCell="J23" sqref="J23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1.164062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22.83203125" style="1" bestFit="1" customWidth="1"/>
    <col min="22" max="22" width="7.1640625" style="1" bestFit="1" customWidth="1"/>
    <col min="23" max="23" width="21.33203125" style="1" bestFit="1" customWidth="1"/>
    <col min="24" max="24" width="13.5" style="1" bestFit="1" customWidth="1"/>
    <col min="25" max="25" width="15" style="1" bestFit="1" customWidth="1"/>
    <col min="26" max="2001" width="8.83203125" style="1"/>
    <col min="2002" max="2002" width="2.33203125" style="1" customWidth="1"/>
    <col min="2003" max="16384" width="8.83203125" style="1"/>
  </cols>
  <sheetData>
    <row r="1" spans="1:25" x14ac:dyDescent="0.2">
      <c r="C1" s="216" t="s">
        <v>7</v>
      </c>
      <c r="D1" s="217"/>
      <c r="E1" s="218"/>
      <c r="F1" s="219" t="s">
        <v>8</v>
      </c>
      <c r="G1" s="220"/>
      <c r="H1" s="221"/>
      <c r="I1" s="222" t="s">
        <v>9</v>
      </c>
      <c r="J1" s="223"/>
      <c r="K1" s="224"/>
      <c r="L1" s="225" t="s">
        <v>10</v>
      </c>
      <c r="M1" s="226"/>
      <c r="N1" s="227"/>
      <c r="O1" s="228" t="s">
        <v>11</v>
      </c>
      <c r="P1" s="229"/>
      <c r="Q1" s="230"/>
      <c r="R1" s="213" t="s">
        <v>255</v>
      </c>
      <c r="S1" s="214"/>
      <c r="T1" s="215"/>
      <c r="U1" s="165" t="s">
        <v>256</v>
      </c>
    </row>
    <row r="2" spans="1:25" x14ac:dyDescent="0.2">
      <c r="A2" s="2" t="s">
        <v>3</v>
      </c>
      <c r="B2" s="3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5"/>
      <c r="V2" s="2" t="s">
        <v>13</v>
      </c>
      <c r="W2" s="2" t="s">
        <v>137</v>
      </c>
      <c r="X2" s="2" t="s">
        <v>14</v>
      </c>
      <c r="Y2" s="2" t="s">
        <v>15</v>
      </c>
    </row>
    <row r="3" spans="1:25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C3*uHealthy*W3/(1+discount_rate)^A3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175">
        <v>0</v>
      </c>
      <c r="V3" s="48">
        <f>SUM(C3,F3,I3,L3,O3,R3)-B3</f>
        <v>0</v>
      </c>
      <c r="W3" s="55">
        <v>0.33333333333333331</v>
      </c>
      <c r="X3" s="12">
        <f>SUM(D3,G3,J3,M3,P3,S3)</f>
        <v>0</v>
      </c>
      <c r="Y3" s="12">
        <f>SUM(E3,H3,K3,N3,Q3,T3)</f>
        <v>333.33333333333331</v>
      </c>
    </row>
    <row r="4" spans="1:25" x14ac:dyDescent="0.2">
      <c r="A4" s="10">
        <v>1</v>
      </c>
      <c r="B4" s="15">
        <f>SUM(C4,F4,I4,L4,O4)</f>
        <v>994.84021760779171</v>
      </c>
      <c r="C4" s="27">
        <f>(1-SUM(pHealthyStage1,pHealthyStage2,pHealthyStage3))*C3*(1-'Life Table - Female'!B58)</f>
        <v>915.25300019916835</v>
      </c>
      <c r="D4" s="19">
        <f t="shared" ref="D4:D33" si="2">C4*0*W4/(1+discount_rate)^A4</f>
        <v>0</v>
      </c>
      <c r="E4" s="20">
        <f t="shared" si="1"/>
        <v>592.39676388295686</v>
      </c>
      <c r="F4" s="27">
        <f>SUM(pHealthyStage1*C3,(1-SUM(pStage1Remission,pStage1Stage2))*F3,pStage2Stage1*I3,pRemissionStage1_trtC*O3)*(1-'Life Table - Female'!B58)</f>
        <v>49.742010880389586</v>
      </c>
      <c r="G4" s="200">
        <f>F4*SUM(nVisitsStage1*cVisit,cTreatmentStage1)*W4/((1+discount_rate)^A4)</f>
        <v>51512.762076778854</v>
      </c>
      <c r="H4" s="20">
        <f t="shared" ref="H4:H33" si="3">F4*uStage1*W4/(1+discount_rate)^A4</f>
        <v>28.332019142228372</v>
      </c>
      <c r="I4" s="27">
        <f>SUM(pHealthyStage2*C3,pStage1Stage2*F3,(1-SUM(pStage2Remission, pStage2Stage1, pStage2Stage3))*I3,pStage3Stage2*L3,pRemissionStage2_trtC*O3)*(1-'Life Table - Female'!B58)</f>
        <v>19.896804352155833</v>
      </c>
      <c r="J4" s="19">
        <f t="shared" ref="J4:J33" si="4">I4*SUM(nVisitsStage2*cVisit,cTreatmentStage2)*W4/(1+discount_rate)^A4</f>
        <v>92722.97173820193</v>
      </c>
      <c r="K4" s="20">
        <f t="shared" ref="K4:K33" si="5">I4*uStage2*W4/(1+discount_rate)^A4</f>
        <v>9.1435152686282457</v>
      </c>
      <c r="L4" s="27">
        <f>SUM(pHealthyStage3*C3,pStage2Stage3*I3,(1-SUM(pStage3Death, pStage3Stage2))*L3)*(1-'Life Table - Female'!B58)</f>
        <v>9.9484021760779164</v>
      </c>
      <c r="M4" s="19">
        <f t="shared" ref="M4:M33" si="6">L4*SUM(nVisitsStage3*cVisit,cTreatmentStage3)*W4/(1+discount_rate)^A4</f>
        <v>149387.01002265865</v>
      </c>
      <c r="N4" s="20">
        <f t="shared" ref="N4:N33" si="7">L4*uStage3*W4/(1+discount_rate)^A4</f>
        <v>2.3180742934550485</v>
      </c>
      <c r="O4" s="27">
        <f>SUM(pStage1Remission*F3,pStage2Remission*I3,(1-SUM(pRemissionStage1_trtC, pRemissionStage2_trtC))*O3)*(1-'Life Table - Female'!B58)</f>
        <v>0</v>
      </c>
      <c r="P4" s="19">
        <f t="shared" ref="P4:P33" si="8">O4*SUM(nVisitsRemission*cVisit, cTrtC)*W4/(1+discount_rate)^A4</f>
        <v>0</v>
      </c>
      <c r="Q4" s="20">
        <f t="shared" ref="Q4:Q33" si="9">O4*uRemission*W4/(1+discount_rate)^A4</f>
        <v>0</v>
      </c>
      <c r="R4" s="27">
        <f>SUM(pStage3Death*L3*(1-'Life Table - Female'!B58),R3)</f>
        <v>0</v>
      </c>
      <c r="S4" s="19">
        <f t="shared" ref="S4:S33" si="10">R4*0*W4/(1+discount_rate)^A4</f>
        <v>0</v>
      </c>
      <c r="T4" s="23">
        <f t="shared" ref="T4:T33" si="11">R4*0*W4/(1+discount_rate)^A4</f>
        <v>0</v>
      </c>
      <c r="U4" s="200">
        <f>SUM(B3*'Life Table - Female'!B58,U3)</f>
        <v>5.1597823922082648</v>
      </c>
      <c r="V4" s="49">
        <f>SUM(C4,F4,I4,L4,O4,R4-R3, U4-U3)-B3</f>
        <v>0</v>
      </c>
      <c r="W4" s="54">
        <v>0.66666666666666663</v>
      </c>
      <c r="X4" s="13">
        <f>SUM(D4,G4,J4,M4,P4,S4)</f>
        <v>293622.74383763946</v>
      </c>
      <c r="Y4" s="25">
        <f>SUM(E4,H4,K4,N4,Q4,T4)</f>
        <v>632.19037258726848</v>
      </c>
    </row>
    <row r="5" spans="1:25" x14ac:dyDescent="0.2">
      <c r="A5" s="10">
        <v>2</v>
      </c>
      <c r="B5" s="15">
        <f t="shared" ref="B5:B33" si="12">SUM(C5,F5,I5,L5,O5)</f>
        <v>984.84398469654582</v>
      </c>
      <c r="C5" s="27">
        <f>(1-SUM(pHealthyStage1,pHealthyStage2,pHealthyStage3))*C4*(1-'Life Table - Female'!B59)</f>
        <v>837.33997855063433</v>
      </c>
      <c r="D5" s="19">
        <f t="shared" si="2"/>
        <v>0</v>
      </c>
      <c r="E5" s="20">
        <f t="shared" si="1"/>
        <v>1052.364317781298</v>
      </c>
      <c r="F5" s="27">
        <f>SUM(pHealthyStage1*C4,(1-SUM(pStage1Remission,pStage1Stage2))*F4,pStage2Stage1*I4,pRemissionStage1_trtC*O4)*(1-'Life Table - Female'!B59)</f>
        <v>78.64901736150216</v>
      </c>
      <c r="G5" s="200">
        <f>F5*SUM(nVisitsStage1*cVisit,cTreatmentStage1)*W5/((1+discount_rate)^A5)</f>
        <v>158153.04964766197</v>
      </c>
      <c r="H5" s="20">
        <f t="shared" si="3"/>
        <v>86.984177306214093</v>
      </c>
      <c r="I5" s="27">
        <f>SUM(pHealthyStage2*C4,pStage1Stage2*F4,(1-SUM(pStage2Remission, pStage2Stage1, pStage2Stage3))*I4,pStage3Stage2*L4,pRemissionStage2_trtC*O4)*(1-'Life Table - Female'!B59)</f>
        <v>35.515719789659464</v>
      </c>
      <c r="J5" s="19">
        <f t="shared" si="4"/>
        <v>321378.93296326784</v>
      </c>
      <c r="K5" s="20">
        <f t="shared" si="5"/>
        <v>31.691533667211132</v>
      </c>
      <c r="L5" s="27">
        <f>SUM(pHealthyStage3*C4,pStage2Stage3*I4,(1-SUM(pStage3Death, pStage3Stage2))*L4)*(1-'Life Table - Female'!B59)</f>
        <v>17.015888032928768</v>
      </c>
      <c r="M5" s="19">
        <f t="shared" si="6"/>
        <v>496143.0261902755</v>
      </c>
      <c r="N5" s="20">
        <f t="shared" si="7"/>
        <v>7.6987710960559967</v>
      </c>
      <c r="O5" s="27">
        <f>SUM(pStage1Remission*F4,pStage2Remission*I4,(1-SUM(pRemissionStage1_trtC, pRemissionStage2_trtC))*O4)*(1-'Life Table - Female'!B59)</f>
        <v>16.323380961821201</v>
      </c>
      <c r="P5" s="19">
        <f t="shared" si="8"/>
        <v>258490.71557978709</v>
      </c>
      <c r="Q5" s="20">
        <f t="shared" si="9"/>
        <v>19.489379349269662</v>
      </c>
      <c r="R5" s="27">
        <f>SUM(pStage3Death*L4*(1-'Life Table - Female'!B59),R4)</f>
        <v>4.4518311714057823</v>
      </c>
      <c r="S5" s="19">
        <f t="shared" si="10"/>
        <v>0</v>
      </c>
      <c r="T5" s="23">
        <f t="shared" si="11"/>
        <v>0</v>
      </c>
      <c r="U5" s="200">
        <f>SUM(B4*'Life Table - Female'!B59,U4)</f>
        <v>10.704184132048294</v>
      </c>
      <c r="V5" s="49">
        <f t="shared" ref="V5:V33" si="13">SUM(C5,F5,I5,L5,O5,R5-R4, U5-U4)-B4</f>
        <v>0</v>
      </c>
      <c r="W5" s="54">
        <v>1.3333333333333333</v>
      </c>
      <c r="X5" s="13">
        <f t="shared" ref="X5:Y33" si="14">SUM(D5,G5,J5,M5,P5,S5)</f>
        <v>1234165.7243809924</v>
      </c>
      <c r="Y5" s="25">
        <f t="shared" si="14"/>
        <v>1198.228179200049</v>
      </c>
    </row>
    <row r="6" spans="1:25" x14ac:dyDescent="0.2">
      <c r="A6" s="10">
        <v>3</v>
      </c>
      <c r="B6" s="15">
        <f t="shared" si="12"/>
        <v>971.29683323852009</v>
      </c>
      <c r="C6" s="27">
        <f>(1-SUM(pHealthyStage1,pHealthyStage2,pHealthyStage3))*C5*(1-'Life Table - Female'!B60)</f>
        <v>765.70947242329805</v>
      </c>
      <c r="D6" s="19">
        <f t="shared" si="2"/>
        <v>0</v>
      </c>
      <c r="E6" s="20">
        <f t="shared" si="1"/>
        <v>467.15509145059292</v>
      </c>
      <c r="F6" s="27">
        <f>SUM(pHealthyStage1*C5,(1-SUM(pStage1Remission,pStage1Stage2))*F5,pStage2Stage1*I5,pRemissionStage1_trtC*O5)*(1-'Life Table - Female'!B60)</f>
        <v>95.004701084615306</v>
      </c>
      <c r="G6" s="200">
        <f t="shared" ref="G6:G33" si="15">F6*SUM(nVisitsStage1*cVisit,cTreatmentStage1)*W6/(1+discount_rate)^A6</f>
        <v>92738.943783387484</v>
      </c>
      <c r="H6" s="20">
        <f t="shared" si="3"/>
        <v>51.006419080863111</v>
      </c>
      <c r="I6" s="27">
        <f>SUM(pHealthyStage2*C5,pStage1Stage2*F5,(1-SUM(pStage2Remission, pStage2Stage1, pStage2Stage3))*I5,pStage3Stage2*L5,pRemissionStage2_trtC*O5)*(1-'Life Table - Female'!B60)</f>
        <v>46.814509229792122</v>
      </c>
      <c r="J6" s="19">
        <f t="shared" si="4"/>
        <v>205641.1567601077</v>
      </c>
      <c r="K6" s="20">
        <f t="shared" si="5"/>
        <v>20.278502958288396</v>
      </c>
      <c r="L6" s="27">
        <f>SUM(pHealthyStage3*C5,pStage2Stage3*I5,(1-SUM(pStage3Death, pStage3Stage2))*L5)*(1-'Life Table - Female'!B60)</f>
        <v>22.074838634254814</v>
      </c>
      <c r="M6" s="19">
        <f t="shared" si="6"/>
        <v>312451.48227917356</v>
      </c>
      <c r="N6" s="20">
        <f t="shared" si="7"/>
        <v>4.8483850698492441</v>
      </c>
      <c r="O6" s="27">
        <f>SUM(pStage1Remission*F5,pStage2Remission*I5,(1-SUM(pRemissionStage1_trtC, pRemissionStage2_trtC))*O5)*(1-'Life Table - Female'!B60)</f>
        <v>41.693311866559945</v>
      </c>
      <c r="P6" s="19">
        <f t="shared" si="8"/>
        <v>320504.4074861366</v>
      </c>
      <c r="Q6" s="20">
        <f t="shared" si="9"/>
        <v>24.165014850145216</v>
      </c>
      <c r="R6" s="27">
        <f>SUM(pStage3Death*L5*(1-'Life Table - Female'!B60),R5)</f>
        <v>12.062827252707056</v>
      </c>
      <c r="S6" s="19">
        <f t="shared" si="10"/>
        <v>0</v>
      </c>
      <c r="T6" s="23">
        <f t="shared" si="11"/>
        <v>0</v>
      </c>
      <c r="U6" s="200">
        <f>SUM(B5*'Life Table - Female'!B60,U5)</f>
        <v>16.640339508772712</v>
      </c>
      <c r="V6" s="49">
        <f t="shared" si="13"/>
        <v>0</v>
      </c>
      <c r="W6" s="54">
        <v>0.66666666666666663</v>
      </c>
      <c r="X6" s="13">
        <f t="shared" si="14"/>
        <v>931335.99030880537</v>
      </c>
      <c r="Y6" s="25">
        <f t="shared" si="14"/>
        <v>567.45341340973891</v>
      </c>
    </row>
    <row r="7" spans="1:25" x14ac:dyDescent="0.2">
      <c r="A7" s="10">
        <v>4</v>
      </c>
      <c r="B7" s="15">
        <f t="shared" si="12"/>
        <v>955.07682188946217</v>
      </c>
      <c r="C7" s="27">
        <f>(1-SUM(pHealthyStage1,pHealthyStage2,pHealthyStage3))*C6*(1-'Life Table - Female'!B61)</f>
        <v>699.84631277307642</v>
      </c>
      <c r="D7" s="19">
        <f t="shared" si="2"/>
        <v>0</v>
      </c>
      <c r="E7" s="20">
        <f t="shared" si="1"/>
        <v>829.07251257390749</v>
      </c>
      <c r="F7" s="27">
        <f>SUM(pHealthyStage1*C6,(1-SUM(pStage1Remission,pStage1Stage2))*F6,pStage2Stage1*I6,pRemissionStage1_trtC*O6)*(1-'Life Table - Female'!B61)</f>
        <v>103.78083294761441</v>
      </c>
      <c r="G7" s="200">
        <f t="shared" si="15"/>
        <v>196710.24191116204</v>
      </c>
      <c r="H7" s="20">
        <f t="shared" si="3"/>
        <v>108.19063305113912</v>
      </c>
      <c r="I7" s="27">
        <f>SUM(pHealthyStage2*C6,pStage1Stage2*F6,(1-SUM(pStage2Remission, pStage2Stage1, pStage2Stage3))*I6,pStage3Stage2*L6,pRemissionStage2_trtC*O6)*(1-'Life Table - Female'!B61)</f>
        <v>54.482369264173087</v>
      </c>
      <c r="J7" s="19">
        <f t="shared" si="4"/>
        <v>464706.04253738507</v>
      </c>
      <c r="K7" s="20">
        <f t="shared" si="5"/>
        <v>45.825179194658801</v>
      </c>
      <c r="L7" s="27">
        <f>SUM(pHealthyStage3*C6,pStage2Stage3*I6,(1-SUM(pStage3Death, pStage3Stage2))*L6)*(1-'Life Table - Female'!B61)</f>
        <v>25.548529514448187</v>
      </c>
      <c r="M7" s="19">
        <f t="shared" si="6"/>
        <v>702172.36206878803</v>
      </c>
      <c r="N7" s="20">
        <f t="shared" si="7"/>
        <v>10.89577803210188</v>
      </c>
      <c r="O7" s="27">
        <f>SUM(pStage1Remission*F6,pStage2Remission*I6,(1-SUM(pRemissionStage1_trtC, pRemissionStage2_trtC))*O6)*(1-'Life Table - Female'!B61)</f>
        <v>71.418777390150169</v>
      </c>
      <c r="P7" s="19">
        <f t="shared" si="8"/>
        <v>1066038.2659772541</v>
      </c>
      <c r="Q7" s="20">
        <f t="shared" si="9"/>
        <v>80.37590100622154</v>
      </c>
      <c r="R7" s="27">
        <f>SUM(pStage3Death*L6*(1-'Life Table - Female'!B61),R6)</f>
        <v>21.931548525385747</v>
      </c>
      <c r="S7" s="19">
        <f t="shared" si="10"/>
        <v>0</v>
      </c>
      <c r="T7" s="23">
        <f t="shared" si="11"/>
        <v>0</v>
      </c>
      <c r="U7" s="200">
        <f>SUM(B6*'Life Table - Female'!B61,U6)</f>
        <v>22.991629585152019</v>
      </c>
      <c r="V7" s="49">
        <f t="shared" si="13"/>
        <v>0</v>
      </c>
      <c r="W7" s="54">
        <v>1.3333333333333333</v>
      </c>
      <c r="X7" s="13">
        <f t="shared" si="14"/>
        <v>2429626.9124945891</v>
      </c>
      <c r="Y7" s="25">
        <f t="shared" si="14"/>
        <v>1074.3600038580289</v>
      </c>
    </row>
    <row r="8" spans="1:25" x14ac:dyDescent="0.2">
      <c r="A8" s="10">
        <v>5</v>
      </c>
      <c r="B8" s="15">
        <f t="shared" si="12"/>
        <v>936.87845042661263</v>
      </c>
      <c r="C8" s="27">
        <f>(1-SUM(pHealthyStage1,pHealthyStage2,pHealthyStage3))*C7*(1-'Life Table - Female'!B62)</f>
        <v>639.28576824753213</v>
      </c>
      <c r="D8" s="19">
        <f t="shared" si="2"/>
        <v>0</v>
      </c>
      <c r="E8" s="20">
        <f t="shared" si="1"/>
        <v>367.63567961473342</v>
      </c>
      <c r="F8" s="27">
        <f>SUM(pHealthyStage1*C7,(1-SUM(pStage1Remission,pStage1Stage2))*F7,pStage2Stage1*I7,pRemissionStage1_trtC*O7)*(1-'Life Table - Female'!B62)</f>
        <v>107.97258171311094</v>
      </c>
      <c r="G8" s="200">
        <f t="shared" si="15"/>
        <v>99347.303955590876</v>
      </c>
      <c r="H8" s="20">
        <f t="shared" si="3"/>
        <v>54.641017175574987</v>
      </c>
      <c r="I8" s="27">
        <f>SUM(pHealthyStage2*C7,pStage1Stage2*F7,(1-SUM(pStage2Remission, pStage2Stage1, pStage2Stage3))*I7,pStage3Stage2*L7,pRemissionStage2_trtC*O7)*(1-'Life Table - Female'!B62)</f>
        <v>59.345730485363617</v>
      </c>
      <c r="J8" s="19">
        <f t="shared" si="4"/>
        <v>245722.31247537473</v>
      </c>
      <c r="K8" s="20">
        <f t="shared" si="5"/>
        <v>24.23095025798834</v>
      </c>
      <c r="L8" s="27">
        <f>SUM(pHealthyStage3*C7,pStage2Stage3*I7,(1-SUM(pStage3Death, pStage3Stage2))*L7)*(1-'Life Table - Female'!B62)</f>
        <v>27.746610536632257</v>
      </c>
      <c r="M8" s="19">
        <f t="shared" si="6"/>
        <v>370186.46911347756</v>
      </c>
      <c r="N8" s="20">
        <f t="shared" si="7"/>
        <v>5.7442727965884455</v>
      </c>
      <c r="O8" s="27">
        <f>SUM(pStage1Remission*F7,pStage2Remission*I7,(1-SUM(pRemissionStage1_trtC, pRemissionStage2_trtC))*O7)*(1-'Life Table - Female'!B62)</f>
        <v>102.52775944397368</v>
      </c>
      <c r="P8" s="19">
        <f t="shared" si="8"/>
        <v>742907.30589262419</v>
      </c>
      <c r="Q8" s="20">
        <f t="shared" si="9"/>
        <v>56.012852428412145</v>
      </c>
      <c r="R8" s="27">
        <f>SUM(pStage3Death*L7*(1-'Life Table - Female'!B62),R7)</f>
        <v>33.346733481718886</v>
      </c>
      <c r="S8" s="19">
        <f t="shared" si="10"/>
        <v>0</v>
      </c>
      <c r="T8" s="23">
        <f t="shared" si="11"/>
        <v>0</v>
      </c>
      <c r="U8" s="200">
        <f>SUM(B7*'Life Table - Female'!B62,U7)</f>
        <v>29.774816091668626</v>
      </c>
      <c r="V8" s="49">
        <f t="shared" si="13"/>
        <v>0</v>
      </c>
      <c r="W8" s="54">
        <v>0.66666666666666663</v>
      </c>
      <c r="X8" s="13">
        <f t="shared" si="14"/>
        <v>1458163.3914370674</v>
      </c>
      <c r="Y8" s="25">
        <f t="shared" si="14"/>
        <v>508.26477227329735</v>
      </c>
    </row>
    <row r="9" spans="1:25" x14ac:dyDescent="0.2">
      <c r="A9" s="10">
        <v>6</v>
      </c>
      <c r="B9" s="15">
        <f t="shared" si="12"/>
        <v>917.26090734207537</v>
      </c>
      <c r="C9" s="27">
        <f>(1-SUM(pHealthyStage1,pHealthyStage2,pHealthyStage3))*C8*(1-'Life Table - Female'!B63)</f>
        <v>583.60546036149196</v>
      </c>
      <c r="D9" s="19">
        <f t="shared" si="2"/>
        <v>0</v>
      </c>
      <c r="E9" s="20">
        <f t="shared" si="1"/>
        <v>651.68051355648799</v>
      </c>
      <c r="F9" s="27">
        <f>SUM(pHealthyStage1*C8,(1-SUM(pStage1Remission,pStage1Stage2))*F8,pStage2Stage1*I8,pRemissionStage1_trtC*O8)*(1-'Life Table - Female'!B63)</f>
        <v>109.38965259831596</v>
      </c>
      <c r="G9" s="200">
        <f t="shared" si="15"/>
        <v>195439.17204305885</v>
      </c>
      <c r="H9" s="20">
        <f t="shared" si="3"/>
        <v>107.49154462368234</v>
      </c>
      <c r="I9" s="27">
        <f>SUM(pHealthyStage2*C8,pStage1Stage2*F8,(1-SUM(pStage2Remission, pStage2Stage1, pStage2Stage3))*I8,pStage3Stage2*L8,pRemissionStage2_trtC*O8)*(1-'Life Table - Female'!B63)</f>
        <v>62.145128331101425</v>
      </c>
      <c r="J9" s="19">
        <f t="shared" si="4"/>
        <v>499637.43942607474</v>
      </c>
      <c r="K9" s="20">
        <f t="shared" si="5"/>
        <v>49.269803054515705</v>
      </c>
      <c r="L9" s="27">
        <f>SUM(pHealthyStage3*C8,pStage2Stage3*I8,(1-SUM(pStage3Death, pStage3Stage2))*L8)*(1-'Life Table - Female'!B63)</f>
        <v>28.942995003867914</v>
      </c>
      <c r="M9" s="19">
        <f t="shared" si="6"/>
        <v>749802.42885693675</v>
      </c>
      <c r="N9" s="20">
        <f t="shared" si="7"/>
        <v>11.634865275366261</v>
      </c>
      <c r="O9" s="27">
        <f>SUM(pStage1Remission*F8,pStage2Remission*I8,(1-SUM(pRemissionStage1_trtC, pRemissionStage2_trtC))*O8)*(1-'Life Table - Female'!B63)</f>
        <v>133.17767104729811</v>
      </c>
      <c r="P9" s="19">
        <f t="shared" si="8"/>
        <v>1873774.6077776325</v>
      </c>
      <c r="Q9" s="20">
        <f t="shared" si="9"/>
        <v>141.27665693561514</v>
      </c>
      <c r="R9" s="27">
        <f>SUM(pStage3Death*L8*(1-'Life Table - Female'!B63),R8)</f>
        <v>45.736380543629281</v>
      </c>
      <c r="S9" s="19">
        <f t="shared" si="10"/>
        <v>0</v>
      </c>
      <c r="T9" s="23">
        <f t="shared" si="11"/>
        <v>0</v>
      </c>
      <c r="U9" s="200">
        <f>SUM(B8*'Life Table - Female'!B63,U8)</f>
        <v>37.002712114295406</v>
      </c>
      <c r="V9" s="49">
        <f t="shared" si="13"/>
        <v>0</v>
      </c>
      <c r="W9" s="54">
        <v>1.3333333333333333</v>
      </c>
      <c r="X9" s="13">
        <f t="shared" si="14"/>
        <v>3318653.6481037028</v>
      </c>
      <c r="Y9" s="25">
        <f t="shared" si="14"/>
        <v>961.35338344566742</v>
      </c>
    </row>
    <row r="10" spans="1:25" x14ac:dyDescent="0.2">
      <c r="A10" s="10">
        <v>7</v>
      </c>
      <c r="B10" s="15">
        <f t="shared" si="12"/>
        <v>896.6884773634107</v>
      </c>
      <c r="C10" s="27">
        <f>(1-SUM(pHealthyStage1,pHealthyStage2,pHealthyStage3))*C9*(1-'Life Table - Female'!B64)</f>
        <v>532.43512794930257</v>
      </c>
      <c r="D10" s="19">
        <f t="shared" si="2"/>
        <v>0</v>
      </c>
      <c r="E10" s="20">
        <f t="shared" si="1"/>
        <v>288.61232191772689</v>
      </c>
      <c r="F10" s="27">
        <f>SUM(pHealthyStage1*C9,(1-SUM(pStage1Remission,pStage1Stage2))*F9,pStage2Stage1*I9,pRemissionStage1_trtC*O9)*(1-'Life Table - Female'!B64)</f>
        <v>109.13105136202915</v>
      </c>
      <c r="G10" s="200">
        <f t="shared" si="15"/>
        <v>94649.100252204211</v>
      </c>
      <c r="H10" s="20">
        <f t="shared" si="3"/>
        <v>52.057005138712306</v>
      </c>
      <c r="I10" s="27">
        <f>SUM(pHealthyStage2*C9,pStage1Stage2*F9,(1-SUM(pStage2Remission, pStage2Stage1, pStage2Stage3))*I9,pStage3Stage2*L9,pRemissionStage2_trtC*O9)*(1-'Life Table - Female'!B64)</f>
        <v>63.474543020143592</v>
      </c>
      <c r="J10" s="19">
        <f t="shared" si="4"/>
        <v>247730.93815717092</v>
      </c>
      <c r="K10" s="20">
        <f t="shared" si="5"/>
        <v>24.429023068276575</v>
      </c>
      <c r="L10" s="27">
        <f>SUM(pHealthyStage3*C9,pStage2Stage3*I9,(1-SUM(pStage3Death, pStage3Stage2))*L9)*(1-'Life Table - Female'!B64)</f>
        <v>29.381991658637297</v>
      </c>
      <c r="M10" s="19">
        <f t="shared" si="6"/>
        <v>369502.50246185448</v>
      </c>
      <c r="N10" s="20">
        <f t="shared" si="7"/>
        <v>5.7336595209598107</v>
      </c>
      <c r="O10" s="27">
        <f>SUM(pStage1Remission*F9,pStage2Remission*I9,(1-SUM(pRemissionStage1_trtC, pRemissionStage2_trtC))*O9)*(1-'Life Table - Female'!B64)</f>
        <v>162.26576337329797</v>
      </c>
      <c r="P10" s="19">
        <f t="shared" si="8"/>
        <v>1108270.084156014</v>
      </c>
      <c r="Q10" s="20">
        <f t="shared" si="9"/>
        <v>83.560046027635977</v>
      </c>
      <c r="R10" s="27">
        <f>SUM(pStage3Death*L9*(1-'Life Table - Female'!B64),R9)</f>
        <v>58.652008019973401</v>
      </c>
      <c r="S10" s="19">
        <f t="shared" si="10"/>
        <v>0</v>
      </c>
      <c r="T10" s="23">
        <f t="shared" si="11"/>
        <v>0</v>
      </c>
      <c r="U10" s="200">
        <f>SUM(B9*'Life Table - Female'!B64,U9)</f>
        <v>44.65951461661615</v>
      </c>
      <c r="V10" s="49">
        <f t="shared" si="13"/>
        <v>0</v>
      </c>
      <c r="W10" s="54">
        <v>0.66666666666666663</v>
      </c>
      <c r="X10" s="13">
        <f t="shared" si="14"/>
        <v>1820152.6250272435</v>
      </c>
      <c r="Y10" s="25">
        <f t="shared" si="14"/>
        <v>454.39205567331157</v>
      </c>
    </row>
    <row r="11" spans="1:25" x14ac:dyDescent="0.2">
      <c r="A11" s="10">
        <v>8</v>
      </c>
      <c r="B11" s="15">
        <f t="shared" si="12"/>
        <v>875.5420482513515</v>
      </c>
      <c r="C11" s="27">
        <f>(1-SUM(pHealthyStage1,pHealthyStage2,pHealthyStage3))*C10*(1-'Life Table - Female'!B65)</f>
        <v>485.44654008824102</v>
      </c>
      <c r="D11" s="19">
        <f t="shared" si="2"/>
        <v>0</v>
      </c>
      <c r="E11" s="20">
        <f t="shared" si="1"/>
        <v>510.9546420152102</v>
      </c>
      <c r="F11" s="27">
        <f>SUM(pHealthyStage1*C10,(1-SUM(pStage1Remission,pStage1Stage2))*F10,pStage2Stage1*I10,pRemissionStage1_trtC*O10)*(1-'Life Table - Female'!B65)</f>
        <v>107.86764482895535</v>
      </c>
      <c r="G11" s="200">
        <f t="shared" si="15"/>
        <v>181656.99181156952</v>
      </c>
      <c r="H11" s="20">
        <f t="shared" si="3"/>
        <v>99.911345496363225</v>
      </c>
      <c r="I11" s="27">
        <f>SUM(pHealthyStage2*C10,pStage1Stage2*F10,(1-SUM(pStage2Remission, pStage2Stage1, pStage2Stage3))*I10,pStage3Stage2*L10,pRemissionStage2_trtC*O10)*(1-'Life Table - Female'!B65)</f>
        <v>63.783642479411704</v>
      </c>
      <c r="J11" s="19">
        <f t="shared" si="4"/>
        <v>483373.40516569169</v>
      </c>
      <c r="K11" s="20">
        <f t="shared" si="5"/>
        <v>47.665988564950148</v>
      </c>
      <c r="L11" s="27">
        <f>SUM(pHealthyStage3*C10,pStage2Stage3*I10,(1-SUM(pStage3Death, pStage3Stage2))*L10)*(1-'Life Table - Female'!B65)</f>
        <v>29.271591328972434</v>
      </c>
      <c r="M11" s="19">
        <f t="shared" si="6"/>
        <v>714784.71514291468</v>
      </c>
      <c r="N11" s="20">
        <f t="shared" si="7"/>
        <v>11.091486959114192</v>
      </c>
      <c r="O11" s="27">
        <f>SUM(pStage1Remission*F10,pStage2Remission*I10,(1-SUM(pRemissionStage1_trtC, pRemissionStage2_trtC))*O10)*(1-'Life Table - Female'!B65)</f>
        <v>189.17262952577093</v>
      </c>
      <c r="P11" s="19">
        <f t="shared" si="8"/>
        <v>2508821.6265351567</v>
      </c>
      <c r="Q11" s="20">
        <f t="shared" si="9"/>
        <v>189.15718612765068</v>
      </c>
      <c r="R11" s="27">
        <f>SUM(pStage3Death*L10*(1-'Life Table - Female'!B65),R10)</f>
        <v>71.755306287001957</v>
      </c>
      <c r="S11" s="19">
        <f t="shared" si="10"/>
        <v>0</v>
      </c>
      <c r="T11" s="23">
        <f t="shared" si="11"/>
        <v>0</v>
      </c>
      <c r="U11" s="200">
        <f>SUM(B10*'Life Table - Female'!B65,U10)</f>
        <v>52.702645461646746</v>
      </c>
      <c r="V11" s="49">
        <f t="shared" si="13"/>
        <v>0</v>
      </c>
      <c r="W11" s="54">
        <v>1.3333333333333333</v>
      </c>
      <c r="X11" s="13">
        <f t="shared" si="14"/>
        <v>3888636.7386553325</v>
      </c>
      <c r="Y11" s="25">
        <f t="shared" si="14"/>
        <v>858.78064916328833</v>
      </c>
    </row>
    <row r="12" spans="1:25" x14ac:dyDescent="0.2">
      <c r="A12" s="10">
        <v>9</v>
      </c>
      <c r="B12" s="15">
        <f t="shared" si="12"/>
        <v>854.11673966858871</v>
      </c>
      <c r="C12" s="27">
        <f>(1-SUM(pHealthyStage1,pHealthyStage2,pHealthyStage3))*C11*(1-'Life Table - Female'!B66)</f>
        <v>442.33664095460114</v>
      </c>
      <c r="D12" s="19">
        <f t="shared" si="2"/>
        <v>0</v>
      </c>
      <c r="E12" s="20">
        <f t="shared" si="1"/>
        <v>226.00946863752102</v>
      </c>
      <c r="F12" s="27">
        <f>SUM(pHealthyStage1*C11,(1-SUM(pStage1Remission,pStage1Stage2))*F11,pStage2Stage1*I11,pRemissionStage1_trtC*O11)*(1-'Life Table - Female'!B66)</f>
        <v>106.00976685277725</v>
      </c>
      <c r="G12" s="200">
        <f t="shared" si="15"/>
        <v>86664.16971500295</v>
      </c>
      <c r="H12" s="20">
        <f t="shared" si="3"/>
        <v>47.665293343251633</v>
      </c>
      <c r="I12" s="27">
        <f>SUM(pHealthyStage2*C11,pStage1Stage2*F11,(1-SUM(pStage2Remission, pStage2Stage1, pStage2Stage3))*I11,pStage3Stage2*L11,pRemissionStage2_trtC*O11)*(1-'Life Table - Female'!B66)</f>
        <v>63.400293527566738</v>
      </c>
      <c r="J12" s="19">
        <f t="shared" si="4"/>
        <v>233237.01981611756</v>
      </c>
      <c r="K12" s="20">
        <f t="shared" si="5"/>
        <v>22.999761676311593</v>
      </c>
      <c r="L12" s="27">
        <f>SUM(pHealthyStage3*C11,pStage2Stage3*I11,(1-SUM(pStage3Death, pStage3Stage2))*L11)*(1-'Life Table - Female'!B66)</f>
        <v>28.779717036570986</v>
      </c>
      <c r="M12" s="19">
        <f t="shared" si="6"/>
        <v>341152.23678898421</v>
      </c>
      <c r="N12" s="20">
        <f t="shared" si="7"/>
        <v>5.2937416053463062</v>
      </c>
      <c r="O12" s="27">
        <f>SUM(pStage1Remission*F11,pStage2Remission*I11,(1-SUM(pRemissionStage1_trtC, pRemissionStage2_trtC))*O11)*(1-'Life Table - Female'!B66)</f>
        <v>213.59032129707259</v>
      </c>
      <c r="P12" s="19">
        <f t="shared" si="8"/>
        <v>1375073.2473133132</v>
      </c>
      <c r="Q12" s="20">
        <f t="shared" si="9"/>
        <v>103.67615753552758</v>
      </c>
      <c r="R12" s="27">
        <f>SUM(pStage3Death*L11*(1-'Life Table - Female'!B66),R11)</f>
        <v>84.80146102060796</v>
      </c>
      <c r="S12" s="19">
        <f t="shared" si="10"/>
        <v>0</v>
      </c>
      <c r="T12" s="23">
        <f t="shared" si="11"/>
        <v>0</v>
      </c>
      <c r="U12" s="200">
        <f>SUM(B11*'Life Table - Female'!B66,U11)</f>
        <v>61.081799310803447</v>
      </c>
      <c r="V12" s="49">
        <f t="shared" si="13"/>
        <v>0</v>
      </c>
      <c r="W12" s="54">
        <v>0.66666666666666663</v>
      </c>
      <c r="X12" s="13">
        <f t="shared" si="14"/>
        <v>2036126.673633418</v>
      </c>
      <c r="Y12" s="25">
        <f t="shared" si="14"/>
        <v>405.64442279795816</v>
      </c>
    </row>
    <row r="13" spans="1:25" x14ac:dyDescent="0.2">
      <c r="A13" s="10">
        <v>10</v>
      </c>
      <c r="B13" s="15">
        <f t="shared" si="12"/>
        <v>832.60169406953219</v>
      </c>
      <c r="C13" s="27">
        <f>(1-SUM(pHealthyStage1,pHealthyStage2,pHealthyStage3))*C12*(1-'Life Table - Female'!B67)</f>
        <v>402.8064273301552</v>
      </c>
      <c r="D13" s="19">
        <f t="shared" si="2"/>
        <v>0</v>
      </c>
      <c r="E13" s="20">
        <f t="shared" si="1"/>
        <v>399.63441527687792</v>
      </c>
      <c r="F13" s="27">
        <f>SUM(pHealthyStage1*C12,(1-SUM(pStage1Remission,pStage1Stage2))*F12,pStage2Stage1*I12,pRemissionStage1_trtC*O12)*(1-'Life Table - Female'!B67)</f>
        <v>103.80496935045974</v>
      </c>
      <c r="G13" s="200">
        <f t="shared" si="15"/>
        <v>164780.04486339874</v>
      </c>
      <c r="H13" s="20">
        <f t="shared" si="3"/>
        <v>90.629024674869314</v>
      </c>
      <c r="I13" s="27">
        <f>SUM(pHealthyStage2*C12,pStage1Stage2*F12,(1-SUM(pStage2Remission, pStage2Stage1, pStage2Stage3))*I12,pStage3Stage2*L12,pRemissionStage2_trtC*O12)*(1-'Life Table - Female'!B67)</f>
        <v>62.55523238113291</v>
      </c>
      <c r="J13" s="19">
        <f t="shared" si="4"/>
        <v>446850.89049361512</v>
      </c>
      <c r="K13" s="20">
        <f t="shared" si="5"/>
        <v>44.064462812564827</v>
      </c>
      <c r="L13" s="27">
        <f>SUM(pHealthyStage3*C12,pStage2Stage3*I12,(1-SUM(pStage3Death, pStage3Stage2))*L12)*(1-'Life Table - Female'!B67)</f>
        <v>28.034900892022939</v>
      </c>
      <c r="M13" s="19">
        <f t="shared" si="6"/>
        <v>645287.86730253254</v>
      </c>
      <c r="N13" s="20">
        <f t="shared" si="7"/>
        <v>10.013087596073779</v>
      </c>
      <c r="O13" s="27">
        <f>SUM(pStage1Remission*F12,pStage2Remission*I12,(1-SUM(pRemissionStage1_trtC, pRemissionStage2_trtC))*O12)*(1-'Life Table - Female'!B67)</f>
        <v>235.40016411576144</v>
      </c>
      <c r="P13" s="19">
        <f t="shared" si="8"/>
        <v>2942685.1386950393</v>
      </c>
      <c r="Q13" s="20">
        <f t="shared" si="9"/>
        <v>221.86911760002278</v>
      </c>
      <c r="R13" s="27">
        <f>SUM(pStage3Death*L12*(1-'Life Table - Female'!B67),R12)</f>
        <v>97.620476799506093</v>
      </c>
      <c r="S13" s="19">
        <f t="shared" si="10"/>
        <v>0</v>
      </c>
      <c r="T13" s="23">
        <f t="shared" si="11"/>
        <v>0</v>
      </c>
      <c r="U13" s="200">
        <f>SUM(B12*'Life Table - Female'!B67,U12)</f>
        <v>69.777829130961834</v>
      </c>
      <c r="V13" s="49">
        <f t="shared" si="13"/>
        <v>0</v>
      </c>
      <c r="W13" s="54">
        <v>1.3333333333333333</v>
      </c>
      <c r="X13" s="13">
        <f t="shared" si="14"/>
        <v>4199603.9413545858</v>
      </c>
      <c r="Y13" s="25">
        <f t="shared" si="14"/>
        <v>766.21010796040855</v>
      </c>
    </row>
    <row r="14" spans="1:25" x14ac:dyDescent="0.2">
      <c r="A14" s="10">
        <v>11</v>
      </c>
      <c r="B14" s="15">
        <f t="shared" si="12"/>
        <v>811.09269589941277</v>
      </c>
      <c r="C14" s="27">
        <f>(1-SUM(pHealthyStage1,pHealthyStage2,pHealthyStage3))*C13*(1-'Life Table - Female'!B68)</f>
        <v>366.56270611591452</v>
      </c>
      <c r="D14" s="19">
        <f t="shared" si="2"/>
        <v>0</v>
      </c>
      <c r="E14" s="20">
        <f t="shared" si="1"/>
        <v>176.54179873717061</v>
      </c>
      <c r="F14" s="27">
        <f>SUM(pHealthyStage1*C13,(1-SUM(pStage1Remission,pStage1Stage2))*F13,pStage2Stage1*I13,pRemissionStage1_trtC*O13)*(1-'Life Table - Female'!B68)</f>
        <v>101.39951789110269</v>
      </c>
      <c r="G14" s="200">
        <f t="shared" si="15"/>
        <v>78136.713772148738</v>
      </c>
      <c r="H14" s="20">
        <f t="shared" si="3"/>
        <v>42.975192574681806</v>
      </c>
      <c r="I14" s="27">
        <f>SUM(pHealthyStage2*C13,pStage1Stage2*F13,(1-SUM(pStage2Remission, pStage2Stage1, pStage2Stage3))*I13,pStage3Stage2*L13,pRemissionStage2_trtC*O13)*(1-'Life Table - Female'!B68)</f>
        <v>61.406219676394834</v>
      </c>
      <c r="J14" s="19">
        <f t="shared" si="4"/>
        <v>212933.5661266809</v>
      </c>
      <c r="K14" s="20">
        <f t="shared" si="5"/>
        <v>20.997615548603257</v>
      </c>
      <c r="L14" s="27">
        <f>SUM(pHealthyStage3*C13,pStage2Stage3*I13,(1-SUM(pStage3Death, pStage3Stage2))*L13)*(1-'Life Table - Female'!B68)</f>
        <v>27.131316023960167</v>
      </c>
      <c r="M14" s="19">
        <f t="shared" si="6"/>
        <v>303150.37801449548</v>
      </c>
      <c r="N14" s="20">
        <f t="shared" si="7"/>
        <v>4.7040575898801018</v>
      </c>
      <c r="O14" s="27">
        <f>SUM(pStage1Remission*F13,pStage2Remission*I13,(1-SUM(pRemissionStage1_trtC, pRemissionStage2_trtC))*O13)*(1-'Life Table - Female'!B68)</f>
        <v>254.59293619204058</v>
      </c>
      <c r="P14" s="19">
        <f t="shared" si="8"/>
        <v>1544956.1734058019</v>
      </c>
      <c r="Q14" s="20">
        <f t="shared" si="9"/>
        <v>116.48479085202476</v>
      </c>
      <c r="R14" s="27">
        <f>SUM(pStage3Death*L13*(1-'Life Table - Female'!B68),R13)</f>
        <v>110.09935649514946</v>
      </c>
      <c r="S14" s="19">
        <f t="shared" si="10"/>
        <v>0</v>
      </c>
      <c r="T14" s="23">
        <f t="shared" si="11"/>
        <v>0</v>
      </c>
      <c r="U14" s="200">
        <f>SUM(B13*'Life Table - Female'!B68,U13)</f>
        <v>78.807947605437903</v>
      </c>
      <c r="V14" s="49">
        <f t="shared" si="13"/>
        <v>0</v>
      </c>
      <c r="W14" s="54">
        <v>0.66666666666666663</v>
      </c>
      <c r="X14" s="13">
        <f t="shared" si="14"/>
        <v>2139176.8313191272</v>
      </c>
      <c r="Y14" s="25">
        <f t="shared" si="14"/>
        <v>361.70345530236057</v>
      </c>
    </row>
    <row r="15" spans="1:25" x14ac:dyDescent="0.2">
      <c r="A15" s="10">
        <v>12</v>
      </c>
      <c r="B15" s="15">
        <f t="shared" si="12"/>
        <v>789.5935623336743</v>
      </c>
      <c r="C15" s="27">
        <f>(1-SUM(pHealthyStage1,pHealthyStage2,pHealthyStage3))*C14*(1-'Life Table - Female'!B69)</f>
        <v>333.31602686048132</v>
      </c>
      <c r="D15" s="19">
        <f t="shared" si="2"/>
        <v>0</v>
      </c>
      <c r="E15" s="20">
        <f t="shared" si="1"/>
        <v>311.70820664773629</v>
      </c>
      <c r="F15" s="27">
        <f>SUM(pHealthyStage1*C14,(1-SUM(pStage1Remission,pStage1Stage2))*F14,pStage2Stage1*I14,pRemissionStage1_trtC*O14)*(1-'Life Table - Female'!B69)</f>
        <v>98.874462436097616</v>
      </c>
      <c r="G15" s="200">
        <f t="shared" si="15"/>
        <v>147943.59171749285</v>
      </c>
      <c r="H15" s="20">
        <f t="shared" si="3"/>
        <v>81.368975444621071</v>
      </c>
      <c r="I15" s="27">
        <f>SUM(pHealthyStage2*C14,pStage1Stage2*F14,(1-SUM(pStage2Remission, pStage2Stage1, pStage2Stage3))*I14,pStage3Stage2*L14,pRemissionStage2_trtC*O14)*(1-'Life Table - Female'!B69)</f>
        <v>60.056758494911286</v>
      </c>
      <c r="J15" s="19">
        <f t="shared" si="4"/>
        <v>404376.97994821635</v>
      </c>
      <c r="K15" s="20">
        <f t="shared" si="5"/>
        <v>39.876063300449104</v>
      </c>
      <c r="L15" s="27">
        <f>SUM(pHealthyStage3*C14,pStage2Stage3*I14,(1-SUM(pStage3Death, pStage3Stage2))*L14)*(1-'Life Table - Female'!B69)</f>
        <v>26.134727299002041</v>
      </c>
      <c r="M15" s="19">
        <f t="shared" si="6"/>
        <v>567019.50416389562</v>
      </c>
      <c r="N15" s="20">
        <f t="shared" si="7"/>
        <v>8.7985785128880352</v>
      </c>
      <c r="O15" s="27">
        <f>SUM(pStage1Remission*F14,pStage2Remission*I14,(1-SUM(pRemissionStage1_trtC, pRemissionStage2_trtC))*O14)*(1-'Life Table - Female'!B69)</f>
        <v>271.21158724318201</v>
      </c>
      <c r="P15" s="19">
        <f t="shared" si="8"/>
        <v>3195735.4895351604</v>
      </c>
      <c r="Q15" s="20">
        <f t="shared" si="9"/>
        <v>240.94831071892085</v>
      </c>
      <c r="R15" s="27">
        <f>SUM(pStage3Death*L14*(1-'Life Table - Female'!B69),R14)</f>
        <v>122.16647186347171</v>
      </c>
      <c r="S15" s="19">
        <f t="shared" si="10"/>
        <v>0</v>
      </c>
      <c r="T15" s="23">
        <f t="shared" si="11"/>
        <v>0</v>
      </c>
      <c r="U15" s="200">
        <f>SUM(B14*'Life Table - Female'!B69,U14)</f>
        <v>88.239965802854229</v>
      </c>
      <c r="V15" s="49">
        <f t="shared" si="13"/>
        <v>0</v>
      </c>
      <c r="W15" s="54">
        <v>1.3333333333333333</v>
      </c>
      <c r="X15" s="13">
        <f t="shared" si="14"/>
        <v>4315075.565364765</v>
      </c>
      <c r="Y15" s="25">
        <f t="shared" si="14"/>
        <v>682.70013462461532</v>
      </c>
    </row>
    <row r="16" spans="1:25" x14ac:dyDescent="0.2">
      <c r="A16" s="10">
        <v>13</v>
      </c>
      <c r="B16" s="15">
        <f t="shared" si="12"/>
        <v>768.0763809921948</v>
      </c>
      <c r="C16" s="27">
        <f>(1-SUM(pHealthyStage1,pHealthyStage2,pHealthyStage3))*C15*(1-'Life Table - Female'!B70)</f>
        <v>302.80434732659563</v>
      </c>
      <c r="D16" s="19">
        <f t="shared" si="2"/>
        <v>0</v>
      </c>
      <c r="E16" s="20">
        <f t="shared" si="1"/>
        <v>137.46335071186996</v>
      </c>
      <c r="F16" s="27">
        <f>SUM(pHealthyStage1*C15,(1-SUM(pStage1Remission,pStage1Stage2))*F15,pStage2Stage1*I15,pRemissionStage1_trtC*O15)*(1-'Life Table - Female'!B70)</f>
        <v>96.274682064019331</v>
      </c>
      <c r="G16" s="200">
        <f t="shared" si="15"/>
        <v>69928.932009505195</v>
      </c>
      <c r="H16" s="20">
        <f t="shared" si="3"/>
        <v>38.460912605227861</v>
      </c>
      <c r="I16" s="27">
        <f>SUM(pHealthyStage2*C15,pStage1Stage2*F15,(1-SUM(pStage2Remission, pStage2Stage1, pStage2Stage3))*I15,pStage3Stage2*L15,pRemissionStage2_trtC*O15)*(1-'Life Table - Female'!B70)</f>
        <v>58.574739491609506</v>
      </c>
      <c r="J16" s="19">
        <f t="shared" si="4"/>
        <v>191455.42726350148</v>
      </c>
      <c r="K16" s="20">
        <f t="shared" si="5"/>
        <v>18.879632410706396</v>
      </c>
      <c r="L16" s="27">
        <f>SUM(pHealthyStage3*C15,pStage2Stage3*I15,(1-SUM(pStage3Death, pStage3Stage2))*L15)*(1-'Life Table - Female'!B70)</f>
        <v>25.090325744558758</v>
      </c>
      <c r="M16" s="19">
        <f t="shared" si="6"/>
        <v>264252.49981976312</v>
      </c>
      <c r="N16" s="20">
        <f t="shared" si="7"/>
        <v>4.1004698247894273</v>
      </c>
      <c r="O16" s="27">
        <f>SUM(pStage1Remission*F15,pStage2Remission*I15,(1-SUM(pRemissionStage1_trtC, pRemissionStage2_trtC))*O15)*(1-'Life Table - Female'!B70)</f>
        <v>285.33228636541162</v>
      </c>
      <c r="P16" s="19">
        <f t="shared" si="8"/>
        <v>1632098.1830482911</v>
      </c>
      <c r="Q16" s="20">
        <f t="shared" si="9"/>
        <v>123.05502173776799</v>
      </c>
      <c r="R16" s="27">
        <f>SUM(pStage3Death*L15*(1-'Life Table - Female'!B70),R15)</f>
        <v>133.77958264328905</v>
      </c>
      <c r="S16" s="19">
        <f t="shared" si="10"/>
        <v>0</v>
      </c>
      <c r="T16" s="23">
        <f t="shared" si="11"/>
        <v>0</v>
      </c>
      <c r="U16" s="200">
        <f>SUM(B15*'Life Table - Female'!B70,U15)</f>
        <v>98.144036364516296</v>
      </c>
      <c r="V16" s="49">
        <f t="shared" si="13"/>
        <v>0</v>
      </c>
      <c r="W16" s="54">
        <v>0.66666666666666663</v>
      </c>
      <c r="X16" s="13">
        <f t="shared" si="14"/>
        <v>2157735.0421410608</v>
      </c>
      <c r="Y16" s="25">
        <f t="shared" si="14"/>
        <v>321.95938729036163</v>
      </c>
    </row>
    <row r="17" spans="1:25" x14ac:dyDescent="0.2">
      <c r="A17" s="10">
        <v>14</v>
      </c>
      <c r="B17" s="15">
        <f t="shared" si="12"/>
        <v>746.46058000150219</v>
      </c>
      <c r="C17" s="27">
        <f>(1-SUM(pHealthyStage1,pHealthyStage2,pHealthyStage3))*C16*(1-'Life Table - Female'!B71)</f>
        <v>274.77921237072559</v>
      </c>
      <c r="D17" s="19">
        <f t="shared" si="2"/>
        <v>0</v>
      </c>
      <c r="E17" s="20">
        <f t="shared" si="1"/>
        <v>242.21523995613663</v>
      </c>
      <c r="F17" s="27">
        <f>SUM(pHealthyStage1*C16,(1-SUM(pStage1Remission,pStage1Stage2))*F16,pStage2Stage1*I16,pRemissionStage1_trtC*O16)*(1-'Life Table - Female'!B71)</f>
        <v>93.619157805534655</v>
      </c>
      <c r="G17" s="200">
        <f t="shared" si="15"/>
        <v>132039.02334076187</v>
      </c>
      <c r="H17" s="20">
        <f t="shared" si="3"/>
        <v>72.621462837419031</v>
      </c>
      <c r="I17" s="27">
        <f>SUM(pHealthyStage2*C16,pStage1Stage2*F16,(1-SUM(pStage2Remission, pStage2Stage1, pStage2Stage3))*I16,pStage3Stage2*L16,pRemissionStage2_trtC*O16)*(1-'Life Table - Female'!B71)</f>
        <v>57.001112941431657</v>
      </c>
      <c r="J17" s="19">
        <f t="shared" si="4"/>
        <v>361770.72688376252</v>
      </c>
      <c r="K17" s="20">
        <f t="shared" si="5"/>
        <v>35.674613345482136</v>
      </c>
      <c r="L17" s="27">
        <f>SUM(pHealthyStage3*C16,pStage2Stage3*I16,(1-SUM(pStage3Death, pStage3Stage2))*L16)*(1-'Life Table - Female'!B71)</f>
        <v>24.027071225880086</v>
      </c>
      <c r="M17" s="19">
        <f t="shared" si="6"/>
        <v>491367.48124154046</v>
      </c>
      <c r="N17" s="20">
        <f t="shared" si="7"/>
        <v>7.6246678123687301</v>
      </c>
      <c r="O17" s="27">
        <f>SUM(pStage1Remission*F16,pStage2Remission*I16,(1-SUM(pRemissionStage1_trtC, pRemissionStage2_trtC))*O16)*(1-'Life Table - Female'!B71)</f>
        <v>297.03402565793027</v>
      </c>
      <c r="P17" s="19">
        <f t="shared" si="8"/>
        <v>3299091.3193802303</v>
      </c>
      <c r="Q17" s="20">
        <f t="shared" si="9"/>
        <v>248.74101217549358</v>
      </c>
      <c r="R17" s="27">
        <f>SUM(pStage3Death*L16*(1-'Life Table - Female'!B71),R16)</f>
        <v>144.91618606390173</v>
      </c>
      <c r="S17" s="19">
        <f t="shared" si="10"/>
        <v>0</v>
      </c>
      <c r="T17" s="23">
        <f t="shared" si="11"/>
        <v>0</v>
      </c>
      <c r="U17" s="200">
        <f>SUM(B16*'Life Table - Female'!B71,U16)</f>
        <v>108.62323393459617</v>
      </c>
      <c r="V17" s="49">
        <f t="shared" si="13"/>
        <v>0</v>
      </c>
      <c r="W17" s="54">
        <v>1.3333333333333333</v>
      </c>
      <c r="X17" s="13">
        <f t="shared" si="14"/>
        <v>4284268.5508462954</v>
      </c>
      <c r="Y17" s="25">
        <f t="shared" si="14"/>
        <v>606.87699612690017</v>
      </c>
    </row>
    <row r="18" spans="1:25" x14ac:dyDescent="0.2">
      <c r="A18" s="10">
        <v>15</v>
      </c>
      <c r="B18" s="15">
        <f t="shared" si="12"/>
        <v>724.70452092830294</v>
      </c>
      <c r="C18" s="27">
        <f>(1-SUM(pHealthyStage1,pHealthyStage2,pHealthyStage3))*C17*(1-'Life Table - Female'!B72)</f>
        <v>249.03614141724276</v>
      </c>
      <c r="D18" s="19">
        <f t="shared" si="2"/>
        <v>0</v>
      </c>
      <c r="E18" s="20">
        <f t="shared" si="1"/>
        <v>106.56454846815721</v>
      </c>
      <c r="F18" s="27">
        <f>SUM(pHealthyStage1*C17,(1-SUM(pStage1Remission,pStage1Stage2))*F17,pStage2Stage1*I17,pRemissionStage1_trtC*O17)*(1-'Life Table - Female'!B72)</f>
        <v>90.920170321435677</v>
      </c>
      <c r="G18" s="200">
        <f t="shared" si="15"/>
        <v>62248.744085501814</v>
      </c>
      <c r="H18" s="20">
        <f t="shared" si="3"/>
        <v>34.236809247026002</v>
      </c>
      <c r="I18" s="27">
        <f>SUM(pHealthyStage2*C17,pStage1Stage2*F17,(1-SUM(pStage2Remission, pStage2Stage1, pStage2Stage3))*I17,pStage3Stage2*L17,pRemissionStage2_trtC*O17)*(1-'Life Table - Female'!B72)</f>
        <v>55.364139286927298</v>
      </c>
      <c r="J18" s="19">
        <f t="shared" si="4"/>
        <v>170573.44444152131</v>
      </c>
      <c r="K18" s="20">
        <f t="shared" si="5"/>
        <v>16.820436882427799</v>
      </c>
      <c r="L18" s="27">
        <f>SUM(pHealthyStage3*C17,pStage2Stage3*I17,(1-SUM(pStage3Death, pStage3Stage2))*L17)*(1-'Life Table - Female'!B72)</f>
        <v>22.964701112275428</v>
      </c>
      <c r="M18" s="19">
        <f t="shared" si="6"/>
        <v>227981.26162237415</v>
      </c>
      <c r="N18" s="20">
        <f t="shared" si="7"/>
        <v>3.5376402665540816</v>
      </c>
      <c r="O18" s="27">
        <f>SUM(pStage1Remission*F17,pStage2Remission*I17,(1-SUM(pRemissionStage1_trtC, pRemissionStage2_trtC))*O17)*(1-'Life Table - Female'!B72)</f>
        <v>306.4193687904218</v>
      </c>
      <c r="P18" s="19">
        <f t="shared" si="8"/>
        <v>1652103.0352839027</v>
      </c>
      <c r="Q18" s="20">
        <f t="shared" si="9"/>
        <v>124.56332408886566</v>
      </c>
      <c r="R18" s="27">
        <f>SUM(pStage3Death*L17*(1-'Life Table - Female'!B72),R17)</f>
        <v>155.56752063591264</v>
      </c>
      <c r="S18" s="19">
        <f t="shared" si="10"/>
        <v>0</v>
      </c>
      <c r="T18" s="23">
        <f t="shared" si="11"/>
        <v>0</v>
      </c>
      <c r="U18" s="200">
        <f>SUM(B17*'Life Table - Female'!B72,U17)</f>
        <v>119.72795843578457</v>
      </c>
      <c r="V18" s="49">
        <f t="shared" si="13"/>
        <v>0</v>
      </c>
      <c r="W18" s="54">
        <v>0.66666666666666663</v>
      </c>
      <c r="X18" s="13">
        <f t="shared" si="14"/>
        <v>2112906.4854333</v>
      </c>
      <c r="Y18" s="25">
        <f t="shared" si="14"/>
        <v>285.72275895303073</v>
      </c>
    </row>
    <row r="19" spans="1:25" x14ac:dyDescent="0.2">
      <c r="A19" s="10">
        <v>16</v>
      </c>
      <c r="B19" s="15">
        <f t="shared" si="12"/>
        <v>702.70117099212234</v>
      </c>
      <c r="C19" s="27">
        <f>(1-SUM(pHealthyStage1,pHealthyStage2,pHealthyStage3))*C18*(1-'Life Table - Female'!B73)</f>
        <v>225.37068713168057</v>
      </c>
      <c r="D19" s="19">
        <f t="shared" si="2"/>
        <v>0</v>
      </c>
      <c r="E19" s="20">
        <f t="shared" si="1"/>
        <v>187.25808171971116</v>
      </c>
      <c r="F19" s="27">
        <f>SUM(pHealthyStage1*C18,(1-SUM(pStage1Remission,pStage1Stage2))*F18,pStage2Stage1*I18,pRemissionStage1_trtC*O18)*(1-'Life Table - Female'!B73)</f>
        <v>88.174839366578283</v>
      </c>
      <c r="G19" s="200">
        <f t="shared" si="15"/>
        <v>117221.64216383111</v>
      </c>
      <c r="H19" s="20">
        <f t="shared" si="3"/>
        <v>64.471903190107113</v>
      </c>
      <c r="I19" s="27">
        <f>SUM(pHealthyStage2*C18,pStage1Stage2*F18,(1-SUM(pStage2Remission, pStage2Stage1, pStage2Stage3))*I18,pStage3Stage2*L18,pRemissionStage2_trtC*O18)*(1-'Life Table - Female'!B73)</f>
        <v>53.676480570658384</v>
      </c>
      <c r="J19" s="19">
        <f t="shared" si="4"/>
        <v>321114.31781112117</v>
      </c>
      <c r="K19" s="20">
        <f t="shared" si="5"/>
        <v>31.665439673041117</v>
      </c>
      <c r="L19" s="27">
        <f>SUM(pHealthyStage3*C18,pStage2Stage3*I18,(1-SUM(pStage3Death, pStage3Stage2))*L18)*(1-'Life Table - Female'!B73)</f>
        <v>21.913432822406318</v>
      </c>
      <c r="M19" s="19">
        <f t="shared" si="6"/>
        <v>422417.15086143103</v>
      </c>
      <c r="N19" s="20">
        <f t="shared" si="7"/>
        <v>6.5547488926773774</v>
      </c>
      <c r="O19" s="27">
        <f>SUM(pStage1Remission*F18,pStage2Remission*I18,(1-SUM(pRemissionStage1_trtC, pRemissionStage2_trtC))*O18)*(1-'Life Table - Female'!B73)</f>
        <v>313.56573110079887</v>
      </c>
      <c r="P19" s="19">
        <f t="shared" si="8"/>
        <v>3282783.7878259579</v>
      </c>
      <c r="Q19" s="20">
        <f t="shared" si="9"/>
        <v>247.51147606624284</v>
      </c>
      <c r="R19" s="27">
        <f>SUM(pStage3Death*L18*(1-'Life Table - Female'!B73),R18)</f>
        <v>165.73282844851374</v>
      </c>
      <c r="S19" s="19">
        <f t="shared" si="10"/>
        <v>0</v>
      </c>
      <c r="T19" s="23">
        <f t="shared" si="11"/>
        <v>0</v>
      </c>
      <c r="U19" s="200">
        <f>SUM(B18*'Life Table - Female'!B73,U18)</f>
        <v>131.566000559364</v>
      </c>
      <c r="V19" s="49">
        <f t="shared" si="13"/>
        <v>0</v>
      </c>
      <c r="W19" s="54">
        <v>1.3333333333333333</v>
      </c>
      <c r="X19" s="13">
        <f t="shared" si="14"/>
        <v>4143536.8986623413</v>
      </c>
      <c r="Y19" s="25">
        <f t="shared" si="14"/>
        <v>537.46164954177959</v>
      </c>
    </row>
    <row r="20" spans="1:25" x14ac:dyDescent="0.2">
      <c r="A20" s="10">
        <v>17</v>
      </c>
      <c r="B20" s="15">
        <f t="shared" si="12"/>
        <v>680.45187344499095</v>
      </c>
      <c r="C20" s="27">
        <f>(1-SUM(pHealthyStage1,pHealthyStage2,pHealthyStage3))*C19*(1-'Life Table - Female'!B74)</f>
        <v>203.63369331015807</v>
      </c>
      <c r="D20" s="19">
        <f t="shared" si="2"/>
        <v>0</v>
      </c>
      <c r="E20" s="20">
        <f t="shared" si="1"/>
        <v>82.134488920503998</v>
      </c>
      <c r="F20" s="27">
        <f>SUM(pHealthyStage1*C19,(1-SUM(pStage1Remission,pStage1Stage2))*F19,pStage2Stage1*I19,pRemissionStage1_trtC*O19)*(1-'Life Table - Female'!B74)</f>
        <v>85.389692565897633</v>
      </c>
      <c r="G20" s="200">
        <f t="shared" si="15"/>
        <v>55106.312861863546</v>
      </c>
      <c r="H20" s="20">
        <f t="shared" si="3"/>
        <v>30.308472074024948</v>
      </c>
      <c r="I20" s="27">
        <f>SUM(pHealthyStage2*C19,pStage1Stage2*F19,(1-SUM(pStage2Remission, pStage2Stage1, pStage2Stage3))*I19,pStage3Stage2*L19,pRemissionStage2_trtC*O19)*(1-'Life Table - Female'!B74)</f>
        <v>51.95193940129672</v>
      </c>
      <c r="J20" s="19">
        <f t="shared" si="4"/>
        <v>150872.53311031428</v>
      </c>
      <c r="K20" s="20">
        <f t="shared" si="5"/>
        <v>14.877708126155989</v>
      </c>
      <c r="L20" s="27">
        <f>SUM(pHealthyStage3*C19,pStage2Stage3*I19,(1-SUM(pStage3Death, pStage3Stage2))*L19)*(1-'Life Table - Female'!B74)</f>
        <v>20.881724352655624</v>
      </c>
      <c r="M20" s="19">
        <f t="shared" si="6"/>
        <v>195402.56686808716</v>
      </c>
      <c r="N20" s="20">
        <f t="shared" si="7"/>
        <v>3.0321087962289384</v>
      </c>
      <c r="O20" s="27">
        <f>SUM(pStage1Remission*F19,pStage2Remission*I19,(1-SUM(pRemissionStage1_trtC, pRemissionStage2_trtC))*O19)*(1-'Life Table - Female'!B74)</f>
        <v>318.59482381498293</v>
      </c>
      <c r="P20" s="19">
        <f t="shared" si="8"/>
        <v>1619142.9069402891</v>
      </c>
      <c r="Q20" s="20">
        <f t="shared" si="9"/>
        <v>122.0782350470853</v>
      </c>
      <c r="R20" s="27">
        <f>SUM(pStage3Death*L19*(1-'Life Table - Female'!B74),R19)</f>
        <v>175.41755387646538</v>
      </c>
      <c r="S20" s="19">
        <f t="shared" si="10"/>
        <v>0</v>
      </c>
      <c r="T20" s="23">
        <f t="shared" si="11"/>
        <v>0</v>
      </c>
      <c r="U20" s="200">
        <f>SUM(B19*'Life Table - Female'!B74,U19)</f>
        <v>144.13057267854379</v>
      </c>
      <c r="V20" s="49">
        <f t="shared" si="13"/>
        <v>0</v>
      </c>
      <c r="W20" s="54">
        <v>0.66666666666666663</v>
      </c>
      <c r="X20" s="13">
        <f t="shared" si="14"/>
        <v>2020524.3197805542</v>
      </c>
      <c r="Y20" s="25">
        <f t="shared" si="14"/>
        <v>252.43101296399919</v>
      </c>
    </row>
    <row r="21" spans="1:25" x14ac:dyDescent="0.2">
      <c r="A21" s="10">
        <v>18</v>
      </c>
      <c r="B21" s="15">
        <f t="shared" si="12"/>
        <v>657.89178747900587</v>
      </c>
      <c r="C21" s="27">
        <f>(1-SUM(pHealthyStage1,pHealthyStage2,pHealthyStage3))*C20*(1-'Life Table - Female'!B75)</f>
        <v>183.66810741150334</v>
      </c>
      <c r="D21" s="19">
        <f t="shared" si="2"/>
        <v>0</v>
      </c>
      <c r="E21" s="20">
        <f t="shared" si="1"/>
        <v>143.84754117947369</v>
      </c>
      <c r="F21" s="27">
        <f>SUM(pHealthyStage1*C20,(1-SUM(pStage1Remission,pStage1Stage2))*F20,pStage2Stage1*I20,pRemissionStage1_trtC*O20)*(1-'Life Table - Female'!B75)</f>
        <v>82.560427467009404</v>
      </c>
      <c r="G21" s="200">
        <f t="shared" si="15"/>
        <v>103457.17311278201</v>
      </c>
      <c r="H21" s="20">
        <f t="shared" si="3"/>
        <v>56.901445212030097</v>
      </c>
      <c r="I21" s="27">
        <f>SUM(pHealthyStage2*C20,pStage1Stage2*F20,(1-SUM(pStage2Remission, pStage2Stage1, pStage2Stage3))*I20,pStage3Stage2*L20,pRemissionStage2_trtC*O20)*(1-'Life Table - Female'!B75)</f>
        <v>50.19448215076865</v>
      </c>
      <c r="J21" s="19">
        <f t="shared" si="4"/>
        <v>283046.09421555127</v>
      </c>
      <c r="K21" s="20">
        <f t="shared" si="5"/>
        <v>27.911489846255748</v>
      </c>
      <c r="L21" s="27">
        <f>SUM(pHealthyStage3*C20,pStage2Stage3*I20,(1-SUM(pStage3Death, pStage3Stage2))*L20)*(1-'Life Table - Female'!B75)</f>
        <v>19.872377120962575</v>
      </c>
      <c r="M21" s="19">
        <f t="shared" si="6"/>
        <v>361082.54685839743</v>
      </c>
      <c r="N21" s="20">
        <f t="shared" si="7"/>
        <v>5.6030050374578906</v>
      </c>
      <c r="O21" s="27">
        <f>SUM(pStage1Remission*F20,pStage2Remission*I20,(1-SUM(pRemissionStage1_trtC, pRemissionStage2_trtC))*O20)*(1-'Life Table - Female'!B75)</f>
        <v>321.59639332876191</v>
      </c>
      <c r="P21" s="19">
        <f t="shared" si="8"/>
        <v>3173586.9861386847</v>
      </c>
      <c r="Q21" s="20">
        <f t="shared" si="9"/>
        <v>239.27838387553578</v>
      </c>
      <c r="R21" s="27">
        <f>SUM(pStage3Death*L20*(1-'Life Table - Female'!B75),R20)</f>
        <v>184.63000417326364</v>
      </c>
      <c r="S21" s="19">
        <f t="shared" si="10"/>
        <v>0</v>
      </c>
      <c r="T21" s="23">
        <f t="shared" si="11"/>
        <v>0</v>
      </c>
      <c r="U21" s="200">
        <f>SUM(B20*'Life Table - Female'!B75,U20)</f>
        <v>157.47820834773057</v>
      </c>
      <c r="V21" s="49">
        <f t="shared" si="13"/>
        <v>0</v>
      </c>
      <c r="W21" s="54">
        <v>1.3333333333333333</v>
      </c>
      <c r="X21" s="13">
        <f t="shared" si="14"/>
        <v>3921172.8003254151</v>
      </c>
      <c r="Y21" s="25">
        <f t="shared" si="14"/>
        <v>473.54186515075321</v>
      </c>
    </row>
    <row r="22" spans="1:25" x14ac:dyDescent="0.2">
      <c r="A22" s="10">
        <v>19</v>
      </c>
      <c r="B22" s="15">
        <f t="shared" si="12"/>
        <v>635.15012819933668</v>
      </c>
      <c r="C22" s="27">
        <f>(1-SUM(pHealthyStage1,pHealthyStage2,pHealthyStage3))*C21*(1-'Life Table - Female'!B76)</f>
        <v>165.3816250508892</v>
      </c>
      <c r="D22" s="19">
        <f t="shared" si="2"/>
        <v>0</v>
      </c>
      <c r="E22" s="20">
        <f t="shared" si="1"/>
        <v>62.876553238647418</v>
      </c>
      <c r="F22" s="27">
        <f>SUM(pHealthyStage1*C21,(1-SUM(pStage1Remission,pStage1Stage2))*F21,pStage2Stage1*I21,pRemissionStage1_trtC*O21)*(1-'Life Table - Female'!B76)</f>
        <v>79.705566708941575</v>
      </c>
      <c r="G22" s="200">
        <f t="shared" si="15"/>
        <v>48485.302350117468</v>
      </c>
      <c r="H22" s="20">
        <f t="shared" si="3"/>
        <v>26.666916292564608</v>
      </c>
      <c r="I22" s="27">
        <f>SUM(pHealthyStage2*C21,pStage1Stage2*F21,(1-SUM(pStage2Remission, pStage2Stage1, pStage2Stage3))*I21,pStage3Stage2*L21,pRemissionStage2_trtC*O21)*(1-'Life Table - Female'!B76)</f>
        <v>48.419688635594824</v>
      </c>
      <c r="J22" s="19">
        <f t="shared" si="4"/>
        <v>132542.74488702667</v>
      </c>
      <c r="K22" s="20">
        <f t="shared" si="5"/>
        <v>13.070187343026239</v>
      </c>
      <c r="L22" s="27">
        <f>SUM(pHealthyStage3*C21,pStage2Stage3*I21,(1-SUM(pStage3Death, pStage3Stage2))*L21)*(1-'Life Table - Female'!B76)</f>
        <v>18.891608292053782</v>
      </c>
      <c r="M22" s="19">
        <f t="shared" si="6"/>
        <v>166631.99293648772</v>
      </c>
      <c r="N22" s="20">
        <f t="shared" si="7"/>
        <v>2.5856688559110159</v>
      </c>
      <c r="O22" s="27">
        <f>SUM(pStage1Remission*F21,pStage2Remission*I21,(1-SUM(pRemissionStage1_trtC, pRemissionStage2_trtC))*O21)*(1-'Life Table - Female'!B76)</f>
        <v>322.75163951185732</v>
      </c>
      <c r="P22" s="19">
        <f t="shared" si="8"/>
        <v>1546110.3012117152</v>
      </c>
      <c r="Q22" s="20">
        <f t="shared" si="9"/>
        <v>116.57180842469282</v>
      </c>
      <c r="R22" s="27">
        <f>SUM(pStage3Death*L21*(1-'Life Table - Female'!B76),R21)</f>
        <v>193.38242137114563</v>
      </c>
      <c r="S22" s="19">
        <f t="shared" si="10"/>
        <v>0</v>
      </c>
      <c r="T22" s="23">
        <f t="shared" si="11"/>
        <v>0</v>
      </c>
      <c r="U22" s="200">
        <f>SUM(B21*'Life Table - Female'!B76,U21)</f>
        <v>171.46745042951781</v>
      </c>
      <c r="V22" s="49">
        <f t="shared" si="13"/>
        <v>0</v>
      </c>
      <c r="W22" s="54">
        <v>0.66666666666666663</v>
      </c>
      <c r="X22" s="13">
        <f t="shared" si="14"/>
        <v>1893770.3413853471</v>
      </c>
      <c r="Y22" s="25">
        <f t="shared" si="14"/>
        <v>221.77113415484209</v>
      </c>
    </row>
    <row r="23" spans="1:25" x14ac:dyDescent="0.2">
      <c r="A23" s="10">
        <v>20</v>
      </c>
      <c r="B23" s="15">
        <f t="shared" si="12"/>
        <v>611.61318225645846</v>
      </c>
      <c r="C23" s="27">
        <f>(1-SUM(pHealthyStage1,pHealthyStage2,pHealthyStage3))*C22*(1-'Life Table - Female'!B77)</f>
        <v>148.50040391342336</v>
      </c>
      <c r="D23" s="19">
        <f t="shared" si="2"/>
        <v>0</v>
      </c>
      <c r="E23" s="20">
        <f t="shared" si="1"/>
        <v>109.62809751165339</v>
      </c>
      <c r="F23" s="27">
        <f>SUM(pHealthyStage1*C22,(1-SUM(pStage1Remission,pStage1Stage2))*F22,pStage2Stage1*I22,pRemissionStage1_trtC*O22)*(1-'Life Table - Female'!B77)</f>
        <v>76.749478948728026</v>
      </c>
      <c r="G23" s="200">
        <f t="shared" si="15"/>
        <v>90654.561366069829</v>
      </c>
      <c r="H23" s="20">
        <f t="shared" si="3"/>
        <v>49.860008751338398</v>
      </c>
      <c r="I23" s="27">
        <f>SUM(pHealthyStage2*C22,pStage1Stage2*F22,(1-SUM(pStage2Remission, pStage2Stage1, pStage2Stage3))*I22,pStage3Stage2*L22,pRemissionStage2_trtC*O22)*(1-'Life Table - Female'!B77)</f>
        <v>46.584398139432139</v>
      </c>
      <c r="J23" s="19">
        <f t="shared" si="4"/>
        <v>247609.45702239923</v>
      </c>
      <c r="K23" s="20">
        <f t="shared" si="5"/>
        <v>24.417043678597704</v>
      </c>
      <c r="L23" s="27">
        <f>SUM(pHealthyStage3*C22,pStage2Stage3*I22,(1-SUM(pStage3Death, pStage3Stage2))*L22)*(1-'Life Table - Female'!B77)</f>
        <v>17.921984782918372</v>
      </c>
      <c r="M23" s="19">
        <f t="shared" si="6"/>
        <v>306950.49044773553</v>
      </c>
      <c r="N23" s="20">
        <f t="shared" si="7"/>
        <v>4.7630248517752065</v>
      </c>
      <c r="O23" s="27">
        <f>SUM(pStage1Remission*F22,pStage2Remission*I22,(1-SUM(pRemissionStage1_trtC, pRemissionStage2_trtC))*O22)*(1-'Life Table - Female'!B77)</f>
        <v>321.85691647195648</v>
      </c>
      <c r="P23" s="19">
        <f t="shared" si="8"/>
        <v>2993833.4322573384</v>
      </c>
      <c r="Q23" s="20">
        <f t="shared" si="9"/>
        <v>225.72553655908504</v>
      </c>
      <c r="R23" s="27">
        <f>SUM(pStage3Death*L22*(1-'Life Table - Female'!B77),R22)</f>
        <v>201.67966798305082</v>
      </c>
      <c r="S23" s="19">
        <f t="shared" si="10"/>
        <v>0</v>
      </c>
      <c r="T23" s="23">
        <f t="shared" si="11"/>
        <v>0</v>
      </c>
      <c r="U23" s="200">
        <f>SUM(B22*'Life Table - Female'!B77,U22)</f>
        <v>186.70714976049092</v>
      </c>
      <c r="V23" s="49">
        <f t="shared" si="13"/>
        <v>0</v>
      </c>
      <c r="W23" s="54">
        <v>1.3333333333333333</v>
      </c>
      <c r="X23" s="13">
        <f t="shared" si="14"/>
        <v>3639047.9410935431</v>
      </c>
      <c r="Y23" s="25">
        <f t="shared" si="14"/>
        <v>414.39371135244971</v>
      </c>
    </row>
    <row r="24" spans="1:25" x14ac:dyDescent="0.2">
      <c r="A24" s="10">
        <v>21</v>
      </c>
      <c r="B24" s="15">
        <f t="shared" si="12"/>
        <v>587.60861538367408</v>
      </c>
      <c r="C24" s="27">
        <f>(1-SUM(pHealthyStage1,pHealthyStage2,pHealthyStage3))*C23*(1-'Life Table - Female'!B78)</f>
        <v>133.01223587004787</v>
      </c>
      <c r="D24" s="19">
        <f t="shared" si="2"/>
        <v>0</v>
      </c>
      <c r="E24" s="20">
        <f t="shared" si="1"/>
        <v>47.667087385993163</v>
      </c>
      <c r="F24" s="27">
        <f>SUM(pHealthyStage1*C23,(1-SUM(pStage1Remission,pStage1Stage2))*F23,pStage2Stage1*I23,pRemissionStage1_trtC*O23)*(1-'Life Table - Female'!B78)</f>
        <v>73.734110365201261</v>
      </c>
      <c r="G24" s="200">
        <f t="shared" si="15"/>
        <v>42278.09881238707</v>
      </c>
      <c r="H24" s="20">
        <f t="shared" si="3"/>
        <v>23.252954346812892</v>
      </c>
      <c r="I24" s="27">
        <f>SUM(pHealthyStage2*C23,pStage1Stage2*F23,(1-SUM(pStage2Remission, pStage2Stage1, pStage2Stage3))*I23,pStage3Stage2*L23,pRemissionStage2_trtC*O23)*(1-'Life Table - Female'!B78)</f>
        <v>44.715854745820828</v>
      </c>
      <c r="J24" s="19">
        <f t="shared" si="4"/>
        <v>115377.48163329998</v>
      </c>
      <c r="K24" s="20">
        <f t="shared" si="5"/>
        <v>11.377501661061526</v>
      </c>
      <c r="L24" s="27">
        <f>SUM(pHealthyStage3*C23,pStage2Stage3*I23,(1-SUM(pStage3Death, pStage3Stage2))*L23)*(1-'Life Table - Female'!B78)</f>
        <v>16.973234349596758</v>
      </c>
      <c r="M24" s="19">
        <f t="shared" si="6"/>
        <v>141117.09077299022</v>
      </c>
      <c r="N24" s="20">
        <f t="shared" si="7"/>
        <v>2.1897479602705383</v>
      </c>
      <c r="O24" s="27">
        <f>SUM(pStage1Remission*F23,pStage2Remission*I23,(1-SUM(pRemissionStage1_trtC, pRemissionStage2_trtC))*O23)*(1-'Life Table - Female'!B78)</f>
        <v>319.17318005300734</v>
      </c>
      <c r="P24" s="19">
        <f t="shared" si="8"/>
        <v>1441199.0193475317</v>
      </c>
      <c r="Q24" s="20">
        <f t="shared" si="9"/>
        <v>108.66183082382183</v>
      </c>
      <c r="R24" s="27">
        <f>SUM(pStage3Death*L23*(1-'Life Table - Female'!B78),R23)</f>
        <v>209.53156779620784</v>
      </c>
      <c r="S24" s="19">
        <f t="shared" si="10"/>
        <v>0</v>
      </c>
      <c r="T24" s="23">
        <f t="shared" si="11"/>
        <v>0</v>
      </c>
      <c r="U24" s="200">
        <f>SUM(B23*'Life Table - Female'!B78,U23)</f>
        <v>202.8598168201182</v>
      </c>
      <c r="V24" s="49">
        <f t="shared" si="13"/>
        <v>0</v>
      </c>
      <c r="W24" s="54">
        <v>0.66666666666666663</v>
      </c>
      <c r="X24" s="13">
        <f t="shared" si="14"/>
        <v>1739971.6905662091</v>
      </c>
      <c r="Y24" s="25">
        <f t="shared" si="14"/>
        <v>193.14912217795995</v>
      </c>
    </row>
    <row r="25" spans="1:25" x14ac:dyDescent="0.2">
      <c r="A25" s="10">
        <v>22</v>
      </c>
      <c r="B25" s="15">
        <f t="shared" si="12"/>
        <v>562.89765886539612</v>
      </c>
      <c r="C25" s="27">
        <f>(1-SUM(pHealthyStage1,pHealthyStage2,pHealthyStage3))*C24*(1-'Life Table - Female'!B79)</f>
        <v>118.76892890876988</v>
      </c>
      <c r="D25" s="19">
        <f t="shared" si="2"/>
        <v>0</v>
      </c>
      <c r="E25" s="20">
        <f t="shared" si="1"/>
        <v>82.646151113791902</v>
      </c>
      <c r="F25" s="27">
        <f>SUM(pHealthyStage1*C24,(1-SUM(pStage1Remission,pStage1Stage2))*F24,pStage2Stage1*I24,pRemissionStage1_trtC*O24)*(1-'Life Table - Female'!B79)</f>
        <v>70.629988195524405</v>
      </c>
      <c r="G25" s="200">
        <f t="shared" si="15"/>
        <v>78637.357176895399</v>
      </c>
      <c r="H25" s="20">
        <f t="shared" si="3"/>
        <v>43.250546447292479</v>
      </c>
      <c r="I25" s="27">
        <f>SUM(pHealthyStage2*C24,pStage1Stage2*F24,(1-SUM(pStage2Remission, pStage2Stage1, pStage2Stage3))*I24,pStage3Stage2*L24,pRemissionStage2_trtC*O24)*(1-'Life Table - Female'!B79)</f>
        <v>42.797229980004808</v>
      </c>
      <c r="J25" s="19">
        <f t="shared" si="4"/>
        <v>214421.31249707399</v>
      </c>
      <c r="K25" s="20">
        <f t="shared" si="5"/>
        <v>21.144323871239237</v>
      </c>
      <c r="L25" s="27">
        <f>SUM(pHealthyStage3*C24,pStage2Stage3*I24,(1-SUM(pStage3Death, pStage3Stage2))*L24)*(1-'Life Table - Female'!B79)</f>
        <v>16.037685759598808</v>
      </c>
      <c r="M25" s="19">
        <f t="shared" si="6"/>
        <v>258910.38928419782</v>
      </c>
      <c r="N25" s="20">
        <f t="shared" si="7"/>
        <v>4.0175750061341038</v>
      </c>
      <c r="O25" s="27">
        <f>SUM(pStage1Remission*F24,pStage2Remission*I24,(1-SUM(pRemissionStage1_trtC, pRemissionStage2_trtC))*O24)*(1-'Life Table - Female'!B79)</f>
        <v>314.66382602149821</v>
      </c>
      <c r="P25" s="19">
        <f t="shared" si="8"/>
        <v>2758907.6104739937</v>
      </c>
      <c r="Q25" s="20">
        <f t="shared" si="9"/>
        <v>208.01287539288049</v>
      </c>
      <c r="R25" s="27">
        <f>SUM(pStage3Death*L24*(1-'Life Table - Female'!B79),R24)</f>
        <v>216.94467942842164</v>
      </c>
      <c r="S25" s="19">
        <f t="shared" si="10"/>
        <v>0</v>
      </c>
      <c r="T25" s="23">
        <f t="shared" si="11"/>
        <v>0</v>
      </c>
      <c r="U25" s="200">
        <f>SUM(B24*'Life Table - Female'!B79,U24)</f>
        <v>220.15766170618232</v>
      </c>
      <c r="V25" s="49">
        <f t="shared" si="13"/>
        <v>0</v>
      </c>
      <c r="W25" s="54">
        <v>1.3333333333333333</v>
      </c>
      <c r="X25" s="13">
        <f t="shared" si="14"/>
        <v>3310876.6694321609</v>
      </c>
      <c r="Y25" s="25">
        <f t="shared" si="14"/>
        <v>359.07147183133821</v>
      </c>
    </row>
    <row r="26" spans="1:25" x14ac:dyDescent="0.2">
      <c r="A26" s="10">
        <v>23</v>
      </c>
      <c r="B26" s="15">
        <f t="shared" si="12"/>
        <v>537.63185100812257</v>
      </c>
      <c r="C26" s="27">
        <f>(1-SUM(pHealthyStage1,pHealthyStage2,pHealthyStage3))*C25*(1-'Life Table - Female'!B80)</f>
        <v>105.71834208968222</v>
      </c>
      <c r="D26" s="19">
        <f t="shared" si="2"/>
        <v>0</v>
      </c>
      <c r="E26" s="20">
        <f t="shared" si="1"/>
        <v>35.711074396339775</v>
      </c>
      <c r="F26" s="27">
        <f>SUM(pHealthyStage1*C25,(1-SUM(pStage1Remission,pStage1Stage2))*F25,pStage2Stage1*I25,pRemissionStage1_trtC*O25)*(1-'Life Table - Female'!B80)</f>
        <v>67.45641109156135</v>
      </c>
      <c r="G26" s="200">
        <f t="shared" si="15"/>
        <v>36458.247337360495</v>
      </c>
      <c r="H26" s="20">
        <f t="shared" si="3"/>
        <v>20.052036035548273</v>
      </c>
      <c r="I26" s="27">
        <f>SUM(pHealthyStage2*C25,pStage1Stage2*F25,(1-SUM(pStage2Remission, pStage2Stage1, pStage2Stage3))*I25,pStage3Stage2*L25,pRemissionStage2_trtC*O25)*(1-'Life Table - Female'!B80)</f>
        <v>40.840808618345818</v>
      </c>
      <c r="J26" s="19">
        <f t="shared" si="4"/>
        <v>99329.763485338481</v>
      </c>
      <c r="K26" s="20">
        <f t="shared" si="5"/>
        <v>9.7950183436930995</v>
      </c>
      <c r="L26" s="27">
        <f>SUM(pHealthyStage3*C25,pStage2Stage3*I25,(1-SUM(pStage3Death, pStage3Stage2))*L25)*(1-'Life Table - Female'!B80)</f>
        <v>15.11857083215965</v>
      </c>
      <c r="M26" s="19">
        <f t="shared" si="6"/>
        <v>118481.70537197309</v>
      </c>
      <c r="N26" s="20">
        <f t="shared" si="7"/>
        <v>1.8385092212892373</v>
      </c>
      <c r="O26" s="27">
        <f>SUM(pStage1Remission*F25,pStage2Remission*I25,(1-SUM(pRemissionStage1_trtC, pRemissionStage2_trtC))*O25)*(1-'Life Table - Female'!B80)</f>
        <v>308.49771837637354</v>
      </c>
      <c r="P26" s="19">
        <f t="shared" si="8"/>
        <v>1313031.2858098482</v>
      </c>
      <c r="Q26" s="20">
        <f t="shared" si="9"/>
        <v>98.998390596774286</v>
      </c>
      <c r="R26" s="27">
        <f>SUM(pStage3Death*L25*(1-'Life Table - Female'!B80),R25)</f>
        <v>223.92722678782894</v>
      </c>
      <c r="S26" s="19">
        <f t="shared" si="10"/>
        <v>0</v>
      </c>
      <c r="T26" s="23">
        <f t="shared" si="11"/>
        <v>0</v>
      </c>
      <c r="U26" s="200">
        <f>SUM(B25*'Life Table - Female'!B80,U25)</f>
        <v>238.44092220404855</v>
      </c>
      <c r="V26" s="49">
        <f t="shared" si="13"/>
        <v>0</v>
      </c>
      <c r="W26" s="54">
        <v>0.66666666666666663</v>
      </c>
      <c r="X26" s="13">
        <f t="shared" si="14"/>
        <v>1567301.0020045203</v>
      </c>
      <c r="Y26" s="25">
        <f t="shared" si="14"/>
        <v>166.39502859364467</v>
      </c>
    </row>
    <row r="27" spans="1:25" x14ac:dyDescent="0.2">
      <c r="A27" s="10">
        <v>24</v>
      </c>
      <c r="B27" s="15">
        <f t="shared" si="12"/>
        <v>511.47345927759136</v>
      </c>
      <c r="C27" s="27">
        <f>(1-SUM(pHealthyStage1,pHealthyStage2,pHealthyStage3))*C26*(1-'Life Table - Female'!B81)</f>
        <v>93.714554882504871</v>
      </c>
      <c r="D27" s="19">
        <f t="shared" si="2"/>
        <v>0</v>
      </c>
      <c r="E27" s="20">
        <f t="shared" si="1"/>
        <v>61.46846817699285</v>
      </c>
      <c r="F27" s="27">
        <f>SUM(pHealthyStage1*C26,(1-SUM(pStage1Remission,pStage1Stage2))*F26,pStage2Stage1*I26,pRemissionStage1_trtC*O26)*(1-'Life Table - Female'!B81)</f>
        <v>64.171163533656937</v>
      </c>
      <c r="G27" s="200">
        <f t="shared" si="15"/>
        <v>67344.981850379801</v>
      </c>
      <c r="H27" s="20">
        <f t="shared" si="3"/>
        <v>37.039740017708894</v>
      </c>
      <c r="I27" s="27">
        <f>SUM(pHealthyStage2*C26,pStage1Stage2*F26,(1-SUM(pStage2Remission, pStage2Stage1, pStage2Stage3))*I26,pStage3Stage2*L26,pRemissionStage2_trtC*O26)*(1-'Life Table - Female'!B81)</f>
        <v>38.821310897883812</v>
      </c>
      <c r="J27" s="19">
        <f t="shared" si="4"/>
        <v>183336.12018809954</v>
      </c>
      <c r="K27" s="20">
        <f t="shared" si="5"/>
        <v>18.078978518548702</v>
      </c>
      <c r="L27" s="27">
        <f>SUM(pHealthyStage3*C26,pStage2Stage3*I26,(1-SUM(pStage3Death, pStage3Stage2))*L26)*(1-'Life Table - Female'!B81)</f>
        <v>14.205046744279338</v>
      </c>
      <c r="M27" s="19">
        <f t="shared" si="6"/>
        <v>216160.33053219289</v>
      </c>
      <c r="N27" s="20">
        <f t="shared" si="7"/>
        <v>3.3542120254995447</v>
      </c>
      <c r="O27" s="27">
        <f>SUM(pStage1Remission*F26,pStage2Remission*I26,(1-SUM(pRemissionStage1_trtC, pRemissionStage2_trtC))*O26)*(1-'Life Table - Female'!B81)</f>
        <v>300.56138321926636</v>
      </c>
      <c r="P27" s="19">
        <f t="shared" si="8"/>
        <v>2483985.5753399371</v>
      </c>
      <c r="Q27" s="20">
        <f t="shared" si="9"/>
        <v>187.28462671213811</v>
      </c>
      <c r="R27" s="27">
        <f>SUM(pStage3Death*L26*(1-'Life Table - Female'!B81),R26)</f>
        <v>230.48252009582151</v>
      </c>
      <c r="S27" s="19">
        <f t="shared" si="10"/>
        <v>0</v>
      </c>
      <c r="T27" s="23">
        <f t="shared" si="11"/>
        <v>0</v>
      </c>
      <c r="U27" s="200">
        <f>SUM(B26*'Life Table - Female'!B81,U26)</f>
        <v>258.04402062658721</v>
      </c>
      <c r="V27" s="49">
        <f t="shared" si="13"/>
        <v>0</v>
      </c>
      <c r="W27" s="54">
        <v>1.3333333333333333</v>
      </c>
      <c r="X27" s="13">
        <f t="shared" si="14"/>
        <v>2950827.0079106092</v>
      </c>
      <c r="Y27" s="25">
        <f t="shared" si="14"/>
        <v>307.22602545088807</v>
      </c>
    </row>
    <row r="28" spans="1:25" x14ac:dyDescent="0.2">
      <c r="A28" s="10">
        <v>25</v>
      </c>
      <c r="B28" s="15">
        <f t="shared" si="12"/>
        <v>484.61556534675913</v>
      </c>
      <c r="C28" s="27">
        <f>(1-SUM(pHealthyStage1,pHealthyStage2,pHealthyStage3))*C27*(1-'Life Table - Female'!B82)</f>
        <v>82.723907380772104</v>
      </c>
      <c r="D28" s="19">
        <f t="shared" si="2"/>
        <v>0</v>
      </c>
      <c r="E28" s="20">
        <f t="shared" si="1"/>
        <v>26.339599250761648</v>
      </c>
      <c r="F28" s="27">
        <f>SUM(pHealthyStage1*C27,(1-SUM(pStage1Remission,pStage1Stage2))*F27,pStage2Stage1*I27,pRemissionStage1_trtC*O27)*(1-'Life Table - Female'!B82)</f>
        <v>60.79855709372729</v>
      </c>
      <c r="G28" s="200">
        <f t="shared" si="15"/>
        <v>30973.578102439613</v>
      </c>
      <c r="H28" s="20">
        <f t="shared" si="3"/>
        <v>17.035467956341787</v>
      </c>
      <c r="I28" s="27">
        <f>SUM(pHealthyStage2*C27,pStage1Stage2*F27,(1-SUM(pStage2Remission, pStage2Stage1, pStage2Stage3))*I27,pStage3Stage2*L27,pRemissionStage2_trtC*O27)*(1-'Life Table - Female'!B82)</f>
        <v>36.753548319415266</v>
      </c>
      <c r="J28" s="19">
        <f t="shared" si="4"/>
        <v>84257.756963905165</v>
      </c>
      <c r="K28" s="20">
        <f t="shared" si="5"/>
        <v>8.3087510339406467</v>
      </c>
      <c r="L28" s="27">
        <f>SUM(pHealthyStage3*C27,pStage2Stage3*I27,(1-SUM(pStage3Death, pStage3Stage2))*L27)*(1-'Life Table - Female'!B82)</f>
        <v>13.301149567559017</v>
      </c>
      <c r="M28" s="19">
        <f t="shared" si="6"/>
        <v>98255.141450883486</v>
      </c>
      <c r="N28" s="20">
        <f t="shared" si="7"/>
        <v>1.5246487466516405</v>
      </c>
      <c r="O28" s="27">
        <f>SUM(pStage1Remission*F27,pStage2Remission*I27,(1-SUM(pRemissionStage1_trtC, pRemissionStage2_trtC))*O27)*(1-'Life Table - Female'!B82)</f>
        <v>291.03840298528547</v>
      </c>
      <c r="P28" s="19">
        <f t="shared" si="8"/>
        <v>1167613.1219322491</v>
      </c>
      <c r="Q28" s="20">
        <f t="shared" si="9"/>
        <v>88.034322685367982</v>
      </c>
      <c r="R28" s="27">
        <f>SUM(pStage3Death*L27*(1-'Life Table - Female'!B82),R27)</f>
        <v>236.61577968566769</v>
      </c>
      <c r="S28" s="19">
        <f t="shared" si="10"/>
        <v>0</v>
      </c>
      <c r="T28" s="23">
        <f t="shared" si="11"/>
        <v>0</v>
      </c>
      <c r="U28" s="200">
        <f>SUM(B27*'Life Table - Female'!B82,U27)</f>
        <v>278.76865496757313</v>
      </c>
      <c r="V28" s="49">
        <f t="shared" si="13"/>
        <v>0</v>
      </c>
      <c r="W28" s="54">
        <v>0.66666666666666663</v>
      </c>
      <c r="X28" s="13">
        <f t="shared" si="14"/>
        <v>1381099.5984494772</v>
      </c>
      <c r="Y28" s="25">
        <f t="shared" si="14"/>
        <v>141.2427896730637</v>
      </c>
    </row>
    <row r="29" spans="1:25" x14ac:dyDescent="0.2">
      <c r="A29" s="10">
        <v>26</v>
      </c>
      <c r="B29" s="15">
        <f t="shared" si="12"/>
        <v>456.90420029969596</v>
      </c>
      <c r="C29" s="27">
        <f>(1-SUM(pHealthyStage1,pHealthyStage2,pHealthyStage3))*C28*(1-'Life Table - Female'!B83)</f>
        <v>72.651411732250622</v>
      </c>
      <c r="D29" s="19">
        <f t="shared" si="2"/>
        <v>0</v>
      </c>
      <c r="E29" s="20">
        <f t="shared" si="1"/>
        <v>44.917435414944684</v>
      </c>
      <c r="F29" s="27">
        <f>SUM(pHealthyStage1*C28,(1-SUM(pStage1Remission,pStage1Stage2))*F28,pStage2Stage1*I28,pRemissionStage1_trtC*O28)*(1-'Life Table - Female'!B83)</f>
        <v>57.319314967383804</v>
      </c>
      <c r="G29" s="200">
        <f t="shared" si="15"/>
        <v>56701.150145627355</v>
      </c>
      <c r="H29" s="20">
        <f t="shared" si="3"/>
        <v>31.185632580095042</v>
      </c>
      <c r="I29" s="27">
        <f>SUM(pHealthyStage2*C28,pStage1Stage2*F28,(1-SUM(pStage2Remission, pStage2Stage1, pStage2Stage3))*I28,pStage3Stage2*L28,pRemissionStage2_trtC*O28)*(1-'Life Table - Female'!B83)</f>
        <v>34.625826327022949</v>
      </c>
      <c r="J29" s="19">
        <f t="shared" si="4"/>
        <v>154135.80577000222</v>
      </c>
      <c r="K29" s="20">
        <f t="shared" si="5"/>
        <v>15.19950306898633</v>
      </c>
      <c r="L29" s="27">
        <f>SUM(pHealthyStage3*C28,pStage2Stage3*I28,(1-SUM(pStage3Death, pStage3Stage2))*L28)*(1-'Life Table - Female'!B83)</f>
        <v>12.401169076908424</v>
      </c>
      <c r="M29" s="19">
        <f t="shared" si="6"/>
        <v>177877.70105177598</v>
      </c>
      <c r="N29" s="20">
        <f t="shared" si="7"/>
        <v>2.7601712232172129</v>
      </c>
      <c r="O29" s="27">
        <f>SUM(pStage1Remission*F28,pStage2Remission*I28,(1-SUM(pRemissionStage1_trtC, pRemissionStage2_trtC))*O28)*(1-'Life Table - Female'!B83)</f>
        <v>279.90647819613014</v>
      </c>
      <c r="P29" s="19">
        <f t="shared" si="8"/>
        <v>2180491.4563391609</v>
      </c>
      <c r="Q29" s="20">
        <f t="shared" si="9"/>
        <v>164.40213361287323</v>
      </c>
      <c r="R29" s="27">
        <f>SUM(pStage3Death*L28*(1-'Life Table - Female'!B83),R28)</f>
        <v>242.32960398273352</v>
      </c>
      <c r="S29" s="19">
        <f t="shared" si="10"/>
        <v>0</v>
      </c>
      <c r="T29" s="23">
        <f t="shared" si="11"/>
        <v>0</v>
      </c>
      <c r="U29" s="200">
        <f>SUM(B28*'Life Table - Female'!B83,U28)</f>
        <v>300.76619571757055</v>
      </c>
      <c r="V29" s="49">
        <f t="shared" si="13"/>
        <v>0</v>
      </c>
      <c r="W29" s="54">
        <v>1.3333333333333333</v>
      </c>
      <c r="X29" s="13">
        <f t="shared" si="14"/>
        <v>2569206.1133065666</v>
      </c>
      <c r="Y29" s="25">
        <f t="shared" si="14"/>
        <v>258.46487590011651</v>
      </c>
    </row>
    <row r="30" spans="1:25" x14ac:dyDescent="0.2">
      <c r="A30" s="10">
        <v>27</v>
      </c>
      <c r="B30" s="15">
        <f t="shared" si="12"/>
        <v>428.53693900180303</v>
      </c>
      <c r="C30" s="27">
        <f>(1-SUM(pHealthyStage1,pHealthyStage2,pHealthyStage3))*C29*(1-'Life Table - Female'!B84)</f>
        <v>63.464671025469102</v>
      </c>
      <c r="D30" s="19">
        <f t="shared" si="2"/>
        <v>0</v>
      </c>
      <c r="E30" s="20">
        <f t="shared" si="1"/>
        <v>19.047400215617639</v>
      </c>
      <c r="F30" s="27">
        <f>SUM(pHealthyStage1*C29,(1-SUM(pStage1Remission,pStage1Stage2))*F29,pStage2Stage1*I29,pRemissionStage1_trtC*O29)*(1-'Life Table - Female'!B84)</f>
        <v>53.75823621514887</v>
      </c>
      <c r="G30" s="200">
        <f t="shared" si="15"/>
        <v>25814.794241406547</v>
      </c>
      <c r="H30" s="20">
        <f t="shared" si="3"/>
        <v>14.198136832773601</v>
      </c>
      <c r="I30" s="27">
        <f>SUM(pHealthyStage2*C29,pStage1Stage2*F29,(1-SUM(pStage2Remission, pStage2Stage1, pStage2Stage3))*I29,pStage3Stage2*L29,pRemissionStage2_trtC*O29)*(1-'Life Table - Female'!B84)</f>
        <v>32.453009050848735</v>
      </c>
      <c r="J30" s="19">
        <f t="shared" si="4"/>
        <v>70127.949606489885</v>
      </c>
      <c r="K30" s="20">
        <f t="shared" si="5"/>
        <v>6.9153950306399752</v>
      </c>
      <c r="L30" s="27">
        <f>SUM(pHealthyStage3*C29,pStage2Stage3*I29,(1-SUM(pStage3Death, pStage3Stage2))*L29)*(1-'Life Table - Female'!B84)</f>
        <v>11.509000733968124</v>
      </c>
      <c r="M30" s="19">
        <f t="shared" si="6"/>
        <v>80136.298145957291</v>
      </c>
      <c r="N30" s="20">
        <f t="shared" si="7"/>
        <v>1.2434942815751995</v>
      </c>
      <c r="O30" s="27">
        <f>SUM(pStage1Remission*F29,pStage2Remission*I29,(1-SUM(pRemissionStage1_trtC, pRemissionStage2_trtC))*O29)*(1-'Life Table - Female'!B84)</f>
        <v>267.35202197636823</v>
      </c>
      <c r="P30" s="19">
        <f t="shared" si="8"/>
        <v>1011015.2163766088</v>
      </c>
      <c r="Q30" s="20">
        <f t="shared" si="9"/>
        <v>76.227337742680831</v>
      </c>
      <c r="R30" s="27">
        <f>SUM(pStage3Death*L29*(1-'Life Table - Female'!B84),R29)</f>
        <v>247.62837668832455</v>
      </c>
      <c r="S30" s="19">
        <f t="shared" si="10"/>
        <v>0</v>
      </c>
      <c r="T30" s="23">
        <f t="shared" si="11"/>
        <v>0</v>
      </c>
      <c r="U30" s="200">
        <f>SUM(B29*'Life Table - Female'!B84,U29)</f>
        <v>323.83468430987244</v>
      </c>
      <c r="V30" s="49">
        <f t="shared" si="13"/>
        <v>0</v>
      </c>
      <c r="W30" s="54">
        <v>0.66666666666666663</v>
      </c>
      <c r="X30" s="13">
        <f t="shared" si="14"/>
        <v>1187094.2583704626</v>
      </c>
      <c r="Y30" s="25">
        <f t="shared" si="14"/>
        <v>117.63176410328725</v>
      </c>
    </row>
    <row r="31" spans="1:25" x14ac:dyDescent="0.2">
      <c r="A31" s="10">
        <v>28</v>
      </c>
      <c r="B31" s="15">
        <f t="shared" si="12"/>
        <v>399.47070250892932</v>
      </c>
      <c r="C31" s="27">
        <f>(1-SUM(pHealthyStage1,pHealthyStage2,pHealthyStage3))*C30*(1-'Life Table - Female'!B85)</f>
        <v>55.093090752859403</v>
      </c>
      <c r="D31" s="19">
        <f t="shared" si="2"/>
        <v>0</v>
      </c>
      <c r="E31" s="20">
        <f t="shared" si="1"/>
        <v>32.106545637844512</v>
      </c>
      <c r="F31" s="27">
        <f>SUM(pHealthyStage1*C30,(1-SUM(pStage1Remission,pStage1Stage2))*F30,pStage2Stage1*I30,pRemissionStage1_trtC*O30)*(1-'Life Table - Female'!B85)</f>
        <v>50.109911667783393</v>
      </c>
      <c r="G31" s="200">
        <f t="shared" si="15"/>
        <v>46724.005319278054</v>
      </c>
      <c r="H31" s="20">
        <f t="shared" si="3"/>
        <v>25.698202925602931</v>
      </c>
      <c r="I31" s="27">
        <f>SUM(pHealthyStage2*C30,pStage1Stage2*F30,(1-SUM(pStage2Remission, pStage2Stage1, pStage2Stage3))*I30,pStage3Stage2*L30,pRemissionStage2_trtC*O30)*(1-'Life Table - Female'!B85)</f>
        <v>30.231648307716135</v>
      </c>
      <c r="J31" s="19">
        <f t="shared" si="4"/>
        <v>126850.08657913689</v>
      </c>
      <c r="K31" s="20">
        <f t="shared" si="5"/>
        <v>12.508827982109333</v>
      </c>
      <c r="L31" s="27">
        <f>SUM(pHealthyStage3*C30,pStage2Stage3*I30,(1-SUM(pStage3Death, pStage3Stage2))*L30)*(1-'Life Table - Female'!B85)</f>
        <v>10.621937467845878</v>
      </c>
      <c r="M31" s="19">
        <f t="shared" si="6"/>
        <v>143611.15336953138</v>
      </c>
      <c r="N31" s="20">
        <f t="shared" si="7"/>
        <v>2.2284489315961764</v>
      </c>
      <c r="O31" s="27">
        <f>SUM(pStage1Remission*F30,pStage2Remission*I30,(1-SUM(pRemissionStage1_trtC, pRemissionStage2_trtC))*O30)*(1-'Life Table - Female'!B85)</f>
        <v>253.41411431272451</v>
      </c>
      <c r="P31" s="19">
        <f t="shared" si="8"/>
        <v>1860791.8272949269</v>
      </c>
      <c r="Q31" s="20">
        <f t="shared" si="9"/>
        <v>140.29779650239527</v>
      </c>
      <c r="R31" s="27">
        <f>SUM(pStage3Death*L30*(1-'Life Table - Female'!B85),R30)</f>
        <v>252.51520867877213</v>
      </c>
      <c r="S31" s="19">
        <f t="shared" si="10"/>
        <v>0</v>
      </c>
      <c r="T31" s="23">
        <f t="shared" si="11"/>
        <v>0</v>
      </c>
      <c r="U31" s="200">
        <f>SUM(B30*'Life Table - Female'!B85,U30)</f>
        <v>348.01408881229861</v>
      </c>
      <c r="V31" s="49">
        <f t="shared" si="13"/>
        <v>0</v>
      </c>
      <c r="W31" s="54">
        <v>1.3333333333333333</v>
      </c>
      <c r="X31" s="13">
        <f t="shared" si="14"/>
        <v>2177977.0725628734</v>
      </c>
      <c r="Y31" s="25">
        <f t="shared" si="14"/>
        <v>212.83982197954822</v>
      </c>
    </row>
    <row r="32" spans="1:25" x14ac:dyDescent="0.2">
      <c r="A32" s="10">
        <v>29</v>
      </c>
      <c r="B32" s="15">
        <f t="shared" si="12"/>
        <v>369.67130858101643</v>
      </c>
      <c r="C32" s="27">
        <f>(1-SUM(pHealthyStage1,pHealthyStage2,pHealthyStage3))*C31*(1-'Life Table - Female'!B86)</f>
        <v>47.472671522189756</v>
      </c>
      <c r="D32" s="19">
        <f t="shared" si="2"/>
        <v>0</v>
      </c>
      <c r="E32" s="20">
        <f t="shared" si="1"/>
        <v>13.429903646113155</v>
      </c>
      <c r="F32" s="27">
        <f>SUM(pHealthyStage1*C31,(1-SUM(pStage1Remission,pStage1Stage2))*F31,pStage2Stage1*I31,pRemissionStage1_trtC*O31)*(1-'Life Table - Female'!B86)</f>
        <v>46.370039891834793</v>
      </c>
      <c r="G32" s="200">
        <f t="shared" si="15"/>
        <v>20988.754931061503</v>
      </c>
      <c r="H32" s="20">
        <f t="shared" si="3"/>
        <v>11.543815212083828</v>
      </c>
      <c r="I32" s="27">
        <f>SUM(pHealthyStage2*C31,pStage1Stage2*F31,(1-SUM(pStage2Remission, pStage2Stage1, pStage2Stage3))*I31,pStage3Stage2*L31,pRemissionStage2_trtC*O31)*(1-'Life Table - Female'!B86)</f>
        <v>27.958946901053061</v>
      </c>
      <c r="J32" s="19">
        <f t="shared" si="4"/>
        <v>56948.531573949229</v>
      </c>
      <c r="K32" s="20">
        <f t="shared" si="5"/>
        <v>5.6157579746533255</v>
      </c>
      <c r="L32" s="27">
        <f>SUM(pHealthyStage3*C31,pStage2Stage3*I31,(1-SUM(pStage3Death, pStage3Stage2))*L31)*(1-'Life Table - Female'!B86)</f>
        <v>9.7376015892826935</v>
      </c>
      <c r="M32" s="19">
        <f t="shared" si="6"/>
        <v>63910.057891528719</v>
      </c>
      <c r="N32" s="20">
        <f t="shared" si="7"/>
        <v>0.99170779486854888</v>
      </c>
      <c r="O32" s="27">
        <f>SUM(pStage1Remission*F31,pStage2Remission*I31,(1-SUM(pRemissionStage1_trtC, pRemissionStage2_trtC))*O31)*(1-'Life Table - Female'!B86)</f>
        <v>238.13204867665615</v>
      </c>
      <c r="P32" s="19">
        <f t="shared" si="8"/>
        <v>848823.93626784743</v>
      </c>
      <c r="Q32" s="20">
        <f t="shared" si="9"/>
        <v>63.998630115432924</v>
      </c>
      <c r="R32" s="27">
        <f>SUM(pStage3Death*L31*(1-'Life Table - Female'!B86),R31)</f>
        <v>256.99208361054883</v>
      </c>
      <c r="S32" s="19">
        <f t="shared" si="10"/>
        <v>0</v>
      </c>
      <c r="T32" s="23">
        <f t="shared" si="11"/>
        <v>0</v>
      </c>
      <c r="U32" s="200">
        <f>SUM(B31*'Life Table - Female'!B86,U31)</f>
        <v>373.33660780843474</v>
      </c>
      <c r="V32" s="49">
        <f t="shared" si="13"/>
        <v>0</v>
      </c>
      <c r="W32" s="54">
        <v>0.66666666666666663</v>
      </c>
      <c r="X32" s="13">
        <f t="shared" si="14"/>
        <v>990671.28066438693</v>
      </c>
      <c r="Y32" s="25">
        <f t="shared" si="14"/>
        <v>95.579814743151786</v>
      </c>
    </row>
    <row r="33" spans="1:25" ht="16" thickBot="1" x14ac:dyDescent="0.25">
      <c r="A33" s="11">
        <v>30</v>
      </c>
      <c r="B33" s="166">
        <f t="shared" si="12"/>
        <v>339.17803258154129</v>
      </c>
      <c r="C33" s="28">
        <f>(1-SUM(pHealthyStage1,pHealthyStage2,pHealthyStage3))*C32*(1-'Life Table - Female'!B87)</f>
        <v>40.552922789708326</v>
      </c>
      <c r="D33" s="21">
        <f t="shared" si="2"/>
        <v>0</v>
      </c>
      <c r="E33" s="22">
        <f t="shared" si="1"/>
        <v>5.5690890830102351</v>
      </c>
      <c r="F33" s="28">
        <f>SUM(pHealthyStage1*C32,(1-SUM(pStage1Remission,pStage1Stage2))*F32,pStage2Stage1*I32,pRemissionStage1_trtC*O32)*(1-'Life Table - Female'!B87)</f>
        <v>42.543529012437659</v>
      </c>
      <c r="G33" s="202">
        <f t="shared" si="15"/>
        <v>9347.9310166427531</v>
      </c>
      <c r="H33" s="22">
        <f t="shared" si="3"/>
        <v>5.1413620591535141</v>
      </c>
      <c r="I33" s="28">
        <f>SUM(pHealthyStage2*C32,pStage1Stage2*F32,(1-SUM(pStage2Remission, pStage2Stage1, pStage2Stage3))*I32,pStage3Stage2*L32,pRemissionStage2_trtC*O32)*(1-'Life Table - Female'!B87)</f>
        <v>25.6376520432914</v>
      </c>
      <c r="J33" s="21">
        <f t="shared" si="4"/>
        <v>25349.695648588782</v>
      </c>
      <c r="K33" s="22">
        <f t="shared" si="5"/>
        <v>2.4997616542358387</v>
      </c>
      <c r="L33" s="28">
        <f>SUM(pHealthyStage3*C32,pStage2Stage3*I32,(1-SUM(pStage3Death, pStage3Stage2))*L32)*(1-'Life Table - Female'!B87)</f>
        <v>8.85562610286253</v>
      </c>
      <c r="M33" s="21">
        <f t="shared" si="6"/>
        <v>28214.298759061752</v>
      </c>
      <c r="N33" s="22">
        <f t="shared" si="7"/>
        <v>0.43780808419233752</v>
      </c>
      <c r="O33" s="28">
        <f>SUM(pStage1Remission*F32,pStage2Remission*I32,(1-SUM(pRemissionStage1_trtC, pRemissionStage2_trtC))*O32)*(1-'Life Table - Female'!B87)</f>
        <v>221.58830263324134</v>
      </c>
      <c r="P33" s="21">
        <f t="shared" si="8"/>
        <v>383424.07634369662</v>
      </c>
      <c r="Q33" s="22">
        <f t="shared" si="9"/>
        <v>28.908958137024744</v>
      </c>
      <c r="R33" s="28">
        <f>SUM(pStage3Death*L32*(1-'Life Table - Female'!B87),R32)</f>
        <v>261.06077899692554</v>
      </c>
      <c r="S33" s="21">
        <f t="shared" si="10"/>
        <v>0</v>
      </c>
      <c r="T33" s="24">
        <f t="shared" si="11"/>
        <v>0</v>
      </c>
      <c r="U33" s="203">
        <f>SUM(B32*'Life Table - Female'!B87,U32)</f>
        <v>399.76118842153323</v>
      </c>
      <c r="V33" s="49">
        <f t="shared" si="13"/>
        <v>0</v>
      </c>
      <c r="W33" s="54">
        <v>0.33333333333333331</v>
      </c>
      <c r="X33" s="13">
        <f t="shared" si="14"/>
        <v>446336.00176798995</v>
      </c>
      <c r="Y33" s="25">
        <f t="shared" si="14"/>
        <v>42.556979017616669</v>
      </c>
    </row>
    <row r="34" spans="1:25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7"/>
      <c r="V34" s="29" t="s">
        <v>80</v>
      </c>
      <c r="W34" s="53"/>
      <c r="X34" s="30">
        <f>SUM(X3:X33)</f>
        <v>70558663.860620394</v>
      </c>
      <c r="Y34" s="31">
        <f>SUM(Y3:Y33)</f>
        <v>13812.930492634059</v>
      </c>
    </row>
    <row r="35" spans="1:25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7"/>
      <c r="V35" s="8"/>
      <c r="W35" s="8"/>
      <c r="X35" s="7"/>
      <c r="Y35" s="6"/>
    </row>
    <row r="36" spans="1:25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7"/>
      <c r="V36" s="8"/>
      <c r="W36" s="8"/>
      <c r="X36" s="7"/>
      <c r="Y36" s="6"/>
    </row>
    <row r="37" spans="1:25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7"/>
      <c r="V37" s="8"/>
      <c r="W37" s="8"/>
      <c r="X37" s="7"/>
      <c r="Y37" s="6"/>
    </row>
    <row r="38" spans="1:25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7"/>
      <c r="V38" s="8"/>
      <c r="W38" s="8"/>
      <c r="X38" s="7"/>
      <c r="Y38" s="6"/>
    </row>
    <row r="39" spans="1:25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7"/>
      <c r="V39" s="8"/>
      <c r="W39" s="8"/>
      <c r="X39" s="7"/>
      <c r="Y39" s="6"/>
    </row>
    <row r="40" spans="1:25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7"/>
      <c r="V40" s="8"/>
      <c r="W40" s="8"/>
      <c r="X40" s="7"/>
      <c r="Y40" s="6"/>
    </row>
    <row r="41" spans="1:25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7"/>
      <c r="V41" s="8"/>
      <c r="W41" s="8"/>
      <c r="X41" s="7"/>
      <c r="Y41" s="6"/>
    </row>
    <row r="42" spans="1:25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7"/>
      <c r="V42" s="8"/>
      <c r="W42" s="8"/>
      <c r="X42" s="7"/>
      <c r="Y42" s="6"/>
    </row>
    <row r="43" spans="1:25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7"/>
      <c r="V43" s="8"/>
      <c r="W43" s="8"/>
      <c r="X43" s="7"/>
      <c r="Y43" s="6"/>
    </row>
    <row r="44" spans="1:25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7"/>
      <c r="V44" s="8"/>
      <c r="W44" s="8"/>
      <c r="X44" s="7"/>
      <c r="Y44" s="6"/>
    </row>
    <row r="45" spans="1:25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7"/>
      <c r="V45" s="8"/>
      <c r="W45" s="8"/>
      <c r="X45" s="7"/>
      <c r="Y45" s="6"/>
    </row>
    <row r="46" spans="1:25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7"/>
      <c r="V46" s="8"/>
      <c r="W46" s="8"/>
      <c r="X46" s="7"/>
      <c r="Y46" s="6"/>
    </row>
    <row r="47" spans="1:25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7"/>
      <c r="V47" s="8"/>
      <c r="W47" s="8"/>
      <c r="X47" s="7"/>
      <c r="Y47" s="6"/>
    </row>
    <row r="48" spans="1:25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7"/>
      <c r="V48" s="8"/>
      <c r="W48" s="8"/>
      <c r="X48" s="7"/>
      <c r="Y48" s="6"/>
    </row>
    <row r="49" spans="2:25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7"/>
      <c r="V49" s="8"/>
      <c r="W49" s="8"/>
      <c r="X49" s="7"/>
      <c r="Y49" s="6"/>
    </row>
    <row r="50" spans="2:25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7"/>
      <c r="V50" s="8"/>
      <c r="W50" s="8"/>
      <c r="X50" s="7"/>
      <c r="Y50" s="6"/>
    </row>
    <row r="51" spans="2:25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7"/>
      <c r="V51" s="8"/>
      <c r="W51" s="8"/>
      <c r="X51" s="7"/>
      <c r="Y51" s="6"/>
    </row>
    <row r="52" spans="2:25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7"/>
      <c r="V52" s="8"/>
      <c r="W52" s="8"/>
      <c r="X52" s="7"/>
      <c r="Y52" s="6"/>
    </row>
    <row r="53" spans="2:25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7"/>
      <c r="V53" s="8"/>
      <c r="W53" s="8"/>
      <c r="X53" s="7"/>
      <c r="Y53" s="6"/>
    </row>
    <row r="54" spans="2:25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7"/>
      <c r="V54" s="8"/>
      <c r="W54" s="8"/>
      <c r="X54" s="7"/>
      <c r="Y54" s="6"/>
    </row>
    <row r="55" spans="2:25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7"/>
      <c r="V55" s="8"/>
      <c r="W55" s="8"/>
      <c r="X55" s="7"/>
      <c r="Y55" s="6"/>
    </row>
    <row r="56" spans="2:25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7"/>
      <c r="V56" s="8"/>
      <c r="W56" s="8"/>
      <c r="X56" s="7"/>
      <c r="Y56" s="6"/>
    </row>
    <row r="57" spans="2:25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7"/>
      <c r="V57" s="8"/>
      <c r="W57" s="8"/>
      <c r="X57" s="7"/>
      <c r="Y57" s="6"/>
    </row>
    <row r="58" spans="2:25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7"/>
      <c r="V58" s="8"/>
      <c r="W58" s="8"/>
      <c r="X58" s="7"/>
      <c r="Y58" s="6"/>
    </row>
    <row r="59" spans="2:25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7"/>
      <c r="V59" s="8"/>
      <c r="W59" s="8"/>
      <c r="X59" s="7"/>
      <c r="Y59" s="6"/>
    </row>
    <row r="60" spans="2:25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7"/>
      <c r="V60" s="8"/>
      <c r="W60" s="8"/>
      <c r="X60" s="7"/>
      <c r="Y60" s="6"/>
    </row>
    <row r="61" spans="2:25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7"/>
      <c r="V61" s="8"/>
      <c r="W61" s="8"/>
      <c r="X61" s="7"/>
      <c r="Y61" s="6"/>
    </row>
    <row r="62" spans="2:25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7"/>
      <c r="V62" s="8"/>
      <c r="W62" s="8"/>
      <c r="X62" s="7"/>
      <c r="Y62" s="6"/>
    </row>
    <row r="63" spans="2:25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7"/>
      <c r="V63" s="8"/>
      <c r="W63" s="8"/>
      <c r="X63" s="7"/>
      <c r="Y63" s="6"/>
    </row>
    <row r="64" spans="2:25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7"/>
      <c r="V64" s="8"/>
      <c r="W64" s="8"/>
      <c r="X64" s="7"/>
      <c r="Y64" s="6"/>
    </row>
    <row r="65" spans="2:25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7"/>
      <c r="V65" s="8"/>
      <c r="W65" s="8"/>
      <c r="X65" s="7"/>
      <c r="Y65" s="6"/>
    </row>
    <row r="66" spans="2:25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7"/>
      <c r="V66" s="8"/>
      <c r="W66" s="8"/>
      <c r="X66" s="7"/>
      <c r="Y66" s="6"/>
    </row>
    <row r="67" spans="2:25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7"/>
      <c r="V67" s="8"/>
      <c r="W67" s="8"/>
      <c r="X67" s="7"/>
      <c r="Y67" s="6"/>
    </row>
    <row r="68" spans="2:25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7"/>
      <c r="V68" s="8"/>
      <c r="W68" s="8"/>
      <c r="X68" s="7"/>
      <c r="Y68" s="6"/>
    </row>
    <row r="69" spans="2:25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7"/>
      <c r="V69" s="8"/>
      <c r="W69" s="8"/>
      <c r="X69" s="7"/>
      <c r="Y69" s="6"/>
    </row>
    <row r="70" spans="2:25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7"/>
      <c r="V70" s="8"/>
      <c r="W70" s="8"/>
      <c r="X70" s="7"/>
      <c r="Y70" s="6"/>
    </row>
    <row r="71" spans="2:25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7"/>
      <c r="V71" s="8"/>
      <c r="W71" s="8"/>
      <c r="X71" s="7"/>
      <c r="Y71" s="6"/>
    </row>
    <row r="72" spans="2:25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7"/>
      <c r="V72" s="8"/>
      <c r="W72" s="8"/>
      <c r="X72" s="7"/>
      <c r="Y72" s="6"/>
    </row>
    <row r="73" spans="2:25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7"/>
      <c r="V73" s="8"/>
      <c r="W73" s="8"/>
      <c r="X73" s="7"/>
      <c r="Y73" s="6"/>
    </row>
    <row r="74" spans="2:25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7"/>
      <c r="V74" s="8"/>
      <c r="W74" s="8"/>
      <c r="X74" s="7"/>
      <c r="Y74" s="6"/>
    </row>
    <row r="75" spans="2:25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7"/>
      <c r="V75" s="8"/>
      <c r="W75" s="8"/>
      <c r="X75" s="7"/>
      <c r="Y75" s="6"/>
    </row>
    <row r="76" spans="2:25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7"/>
      <c r="V76" s="8"/>
      <c r="W76" s="8"/>
      <c r="X76" s="7"/>
      <c r="Y76" s="6"/>
    </row>
    <row r="77" spans="2:25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7"/>
      <c r="V77" s="8"/>
      <c r="W77" s="8"/>
      <c r="X77" s="7"/>
      <c r="Y77" s="6"/>
    </row>
    <row r="78" spans="2:25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7"/>
      <c r="V78" s="8"/>
      <c r="W78" s="8"/>
      <c r="X78" s="7"/>
      <c r="Y78" s="6"/>
    </row>
    <row r="79" spans="2:25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7"/>
      <c r="V79" s="8"/>
      <c r="W79" s="8"/>
      <c r="X79" s="7"/>
      <c r="Y79" s="6"/>
    </row>
    <row r="80" spans="2:25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7"/>
      <c r="V80" s="8"/>
      <c r="W80" s="8"/>
      <c r="X80" s="7"/>
      <c r="Y80" s="6"/>
    </row>
    <row r="81" spans="2:25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7"/>
      <c r="V81" s="8"/>
      <c r="W81" s="8"/>
      <c r="X81" s="7"/>
      <c r="Y81" s="6"/>
    </row>
    <row r="82" spans="2:25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7"/>
      <c r="V82" s="8"/>
      <c r="W82" s="8"/>
      <c r="X82" s="7"/>
      <c r="Y82" s="6"/>
    </row>
    <row r="83" spans="2:25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7"/>
      <c r="V83" s="8"/>
      <c r="W83" s="8"/>
      <c r="X83" s="7"/>
      <c r="Y83" s="6"/>
    </row>
    <row r="84" spans="2:25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7"/>
      <c r="V84" s="8"/>
      <c r="W84" s="8"/>
      <c r="X84" s="7"/>
      <c r="Y84" s="6"/>
    </row>
    <row r="85" spans="2:25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7"/>
      <c r="V85" s="8"/>
      <c r="W85" s="8"/>
      <c r="X85" s="7"/>
      <c r="Y85" s="6"/>
    </row>
    <row r="86" spans="2:25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7"/>
      <c r="V86" s="8"/>
      <c r="W86" s="8"/>
      <c r="X86" s="7"/>
      <c r="Y86" s="6"/>
    </row>
    <row r="87" spans="2:25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7"/>
      <c r="V87" s="8"/>
      <c r="W87" s="8"/>
      <c r="X87" s="7"/>
      <c r="Y87" s="6"/>
    </row>
    <row r="88" spans="2:25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7"/>
      <c r="V88" s="8"/>
      <c r="W88" s="8"/>
      <c r="X88" s="7"/>
      <c r="Y88" s="6"/>
    </row>
    <row r="89" spans="2:25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7"/>
      <c r="V89" s="8"/>
      <c r="W89" s="8"/>
      <c r="X89" s="7"/>
      <c r="Y89" s="6"/>
    </row>
    <row r="90" spans="2:25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7"/>
      <c r="V90" s="8"/>
      <c r="W90" s="8"/>
      <c r="X90" s="7"/>
      <c r="Y90" s="6"/>
    </row>
    <row r="91" spans="2:25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7"/>
      <c r="V91" s="8"/>
      <c r="W91" s="8"/>
      <c r="X91" s="7"/>
      <c r="Y91" s="6"/>
    </row>
    <row r="92" spans="2:25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7"/>
      <c r="V92" s="8"/>
      <c r="W92" s="8"/>
      <c r="X92" s="7"/>
      <c r="Y92" s="6"/>
    </row>
    <row r="93" spans="2:25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7"/>
      <c r="V93" s="8"/>
      <c r="W93" s="8"/>
      <c r="X93" s="7"/>
      <c r="Y93" s="6"/>
    </row>
    <row r="94" spans="2:25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7"/>
      <c r="V94" s="8"/>
      <c r="W94" s="8"/>
      <c r="X94" s="7"/>
      <c r="Y94" s="6"/>
    </row>
    <row r="95" spans="2:25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7"/>
      <c r="V95" s="8"/>
      <c r="W95" s="8"/>
      <c r="X95" s="7"/>
      <c r="Y95" s="6"/>
    </row>
    <row r="96" spans="2:25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7"/>
      <c r="V96" s="8"/>
      <c r="W96" s="8"/>
      <c r="X96" s="7"/>
      <c r="Y96" s="6"/>
    </row>
    <row r="97" spans="2:25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7"/>
      <c r="V97" s="8"/>
      <c r="W97" s="8"/>
      <c r="X97" s="7"/>
      <c r="Y97" s="6"/>
    </row>
    <row r="98" spans="2:25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7"/>
      <c r="V98" s="8"/>
      <c r="W98" s="8"/>
      <c r="X98" s="7"/>
      <c r="Y98" s="6"/>
    </row>
    <row r="99" spans="2:25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7"/>
      <c r="V99" s="8"/>
      <c r="W99" s="8"/>
      <c r="X99" s="7"/>
      <c r="Y99" s="6"/>
    </row>
    <row r="100" spans="2:25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7"/>
      <c r="V100" s="8"/>
      <c r="W100" s="8"/>
      <c r="X100" s="7"/>
      <c r="Y100" s="6"/>
    </row>
    <row r="101" spans="2:25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7"/>
      <c r="V101" s="8"/>
      <c r="W101" s="8"/>
      <c r="X101" s="7"/>
      <c r="Y101" s="6"/>
    </row>
    <row r="102" spans="2:25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7"/>
      <c r="V102" s="8"/>
      <c r="W102" s="8"/>
      <c r="X102" s="7"/>
      <c r="Y102" s="6"/>
    </row>
    <row r="103" spans="2:25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7"/>
      <c r="V103" s="8"/>
      <c r="W103" s="8"/>
      <c r="X103" s="7"/>
      <c r="Y103" s="6"/>
    </row>
    <row r="104" spans="2:25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7"/>
      <c r="V104" s="8"/>
      <c r="W104" s="8"/>
      <c r="X104" s="7"/>
      <c r="Y104" s="6"/>
    </row>
    <row r="105" spans="2:25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7"/>
      <c r="V105" s="8"/>
      <c r="W105" s="8"/>
      <c r="X105" s="7"/>
      <c r="Y105" s="6"/>
    </row>
    <row r="106" spans="2:25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7"/>
      <c r="V106" s="8"/>
      <c r="W106" s="8"/>
      <c r="X106" s="7"/>
      <c r="Y106" s="6"/>
    </row>
    <row r="107" spans="2:25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7"/>
      <c r="V107" s="8"/>
      <c r="W107" s="8"/>
      <c r="X107" s="7"/>
      <c r="Y107" s="6"/>
    </row>
    <row r="108" spans="2:25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7"/>
      <c r="V108" s="8"/>
      <c r="W108" s="8"/>
      <c r="X108" s="7"/>
      <c r="Y108" s="6"/>
    </row>
    <row r="109" spans="2:25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7"/>
      <c r="V109" s="8"/>
      <c r="W109" s="8"/>
      <c r="X109" s="7"/>
      <c r="Y109" s="6"/>
    </row>
    <row r="110" spans="2:25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7"/>
      <c r="V110" s="8"/>
      <c r="W110" s="8"/>
      <c r="X110" s="7"/>
      <c r="Y110" s="6"/>
    </row>
    <row r="111" spans="2:25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7"/>
      <c r="V111" s="8"/>
      <c r="W111" s="8"/>
      <c r="X111" s="7"/>
      <c r="Y111" s="6"/>
    </row>
    <row r="112" spans="2:25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7"/>
      <c r="V112" s="8"/>
      <c r="W112" s="8"/>
      <c r="X112" s="7"/>
      <c r="Y112" s="6"/>
    </row>
    <row r="113" spans="2:25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7"/>
      <c r="V113" s="8"/>
      <c r="W113" s="8"/>
      <c r="X113" s="7"/>
      <c r="Y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F9B3-88C5-9341-98B7-1BA3B9FC09EA}">
  <sheetPr codeName="Sheet7"/>
  <dimension ref="A1:X11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7.1640625" style="1" bestFit="1" customWidth="1"/>
    <col min="22" max="22" width="21.33203125" style="1" bestFit="1" customWidth="1"/>
    <col min="23" max="23" width="13.5" style="1" bestFit="1" customWidth="1"/>
    <col min="24" max="24" width="15" style="1" bestFit="1" customWidth="1"/>
    <col min="25" max="2000" width="8.83203125" style="1"/>
    <col min="2001" max="2001" width="2.33203125" style="1" customWidth="1"/>
    <col min="2002" max="16384" width="8.83203125" style="1"/>
  </cols>
  <sheetData>
    <row r="1" spans="1:24" x14ac:dyDescent="0.2">
      <c r="C1" s="216" t="s">
        <v>7</v>
      </c>
      <c r="D1" s="217"/>
      <c r="E1" s="218"/>
      <c r="F1" s="219" t="s">
        <v>8</v>
      </c>
      <c r="G1" s="220"/>
      <c r="H1" s="221"/>
      <c r="I1" s="222" t="s">
        <v>9</v>
      </c>
      <c r="J1" s="223"/>
      <c r="K1" s="224"/>
      <c r="L1" s="225" t="s">
        <v>10</v>
      </c>
      <c r="M1" s="226"/>
      <c r="N1" s="227"/>
      <c r="O1" s="228" t="s">
        <v>11</v>
      </c>
      <c r="P1" s="229"/>
      <c r="Q1" s="230"/>
      <c r="R1" s="213" t="s">
        <v>12</v>
      </c>
      <c r="S1" s="214"/>
      <c r="T1" s="215"/>
    </row>
    <row r="2" spans="1:24" x14ac:dyDescent="0.2">
      <c r="A2" s="2" t="s">
        <v>3</v>
      </c>
      <c r="B2" s="3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2" t="s">
        <v>13</v>
      </c>
      <c r="V2" s="2" t="s">
        <v>137</v>
      </c>
      <c r="W2" s="2" t="s">
        <v>14</v>
      </c>
      <c r="X2" s="2" t="s">
        <v>15</v>
      </c>
    </row>
    <row r="3" spans="1:24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C3*uHealthy*V3/(1+discount_rate)^A3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48">
        <f>SUM(C3,F3,I3,L3,O3,R3)-B3</f>
        <v>0</v>
      </c>
      <c r="V3" s="55">
        <v>0.33333333333333331</v>
      </c>
      <c r="W3" s="12">
        <f>SUM(D3,G3,J3,M3,P3,S3)</f>
        <v>0</v>
      </c>
      <c r="X3" s="12">
        <f>SUM(E3,H3,K3,N3,Q3,T3)</f>
        <v>333.33333333333331</v>
      </c>
    </row>
    <row r="4" spans="1:24" x14ac:dyDescent="0.2">
      <c r="A4" s="10">
        <v>1</v>
      </c>
      <c r="B4" s="15">
        <f>SUM(C3,F3,I3,L3,O3)</f>
        <v>1000</v>
      </c>
      <c r="C4" s="27">
        <f>(1-SUM(pHealthyStage1,pHealthyStage2,pHealthyStage3))*C3</f>
        <v>920</v>
      </c>
      <c r="D4" s="19">
        <f t="shared" ref="D4:D33" si="2">C4*0*V4/(1+discount_rate)^A4</f>
        <v>0</v>
      </c>
      <c r="E4" s="20">
        <f t="shared" si="1"/>
        <v>595.46925566343032</v>
      </c>
      <c r="F4" s="27">
        <f t="shared" ref="F4:F33" si="3">SUM(pHealthyStage1*C3,(1-SUM(pStage1Remission,pStage1Stage2))*F3,pStage2Stage1*I3,pRemissionStage1_trtC*O3)</f>
        <v>50</v>
      </c>
      <c r="G4" s="19">
        <f t="shared" ref="G4:G33" si="4">F4*SUM(nVisitsStage1*cVisit,cTreatmentStage1)*V4/(1+discount_rate)^A4</f>
        <v>51779.935275080898</v>
      </c>
      <c r="H4" s="20">
        <f t="shared" ref="H4:H33" si="5">F4*uStage1*V4/(1+discount_rate)^A4</f>
        <v>28.478964401294498</v>
      </c>
      <c r="I4" s="27">
        <f t="shared" ref="I4:I33" si="6">SUM(pHealthyStage2*C3,pStage1Stage2*F3,(1-SUM(pStage2Remission, pStage2Stage1, pStage2Stage3))*I3,pStage3Stage2*L3,pRemissionStage2_trtC*O3)</f>
        <v>20</v>
      </c>
      <c r="J4" s="19">
        <f t="shared" ref="J4:J33" si="7">I4*SUM(nVisitsStage2*cVisit,cTreatmentStage2)*V4/(1+discount_rate)^A4</f>
        <v>93203.883495145623</v>
      </c>
      <c r="K4" s="20">
        <f t="shared" ref="K4:K33" si="8">I4*uStage2*V4/(1+discount_rate)^A4</f>
        <v>9.1909385113268591</v>
      </c>
      <c r="L4" s="27">
        <f t="shared" ref="L4:L33" si="9">SUM(pHealthyStage3*C3,pStage2Stage3*I3,(1-SUM(pStage3Death, pStage3Stage2))*L3)</f>
        <v>10</v>
      </c>
      <c r="M4" s="19">
        <f t="shared" ref="M4:M33" si="10">L4*SUM(nVisitsStage3*cVisit,cTreatmentStage3)*V4/(1+discount_rate)^A4</f>
        <v>150161.81229773461</v>
      </c>
      <c r="N4" s="20">
        <f t="shared" ref="N4:N33" si="11">L4*uStage3*V4/(1+discount_rate)^A4</f>
        <v>2.3300970873786402</v>
      </c>
      <c r="O4" s="27">
        <f t="shared" ref="O4:O33" si="12">SUM(pStage1Remission*F3,pStage2Remission*I3,(1-SUM(pRemissionStage1_trtC, pRemissionStage2_trtC))*O3)</f>
        <v>0</v>
      </c>
      <c r="P4" s="19">
        <f t="shared" ref="P4:P33" si="13">O4*SUM(nVisitsRemission*cVisit, cTrtC)*V4/(1+discount_rate)^A4</f>
        <v>0</v>
      </c>
      <c r="Q4" s="20">
        <f t="shared" ref="Q4:Q33" si="14">O4*uRemission*V4/(1+discount_rate)^A4</f>
        <v>0</v>
      </c>
      <c r="R4" s="27">
        <f t="shared" ref="R4:R33" si="15">SUM(pStage3Death*L3,R3)</f>
        <v>0</v>
      </c>
      <c r="S4" s="19">
        <f t="shared" ref="S4:S33" si="16">R4*0*V4/(1+discount_rate)^A4</f>
        <v>0</v>
      </c>
      <c r="T4" s="23">
        <f t="shared" ref="T4:T33" si="17">R4*0*V4/(1+discount_rate)^A4</f>
        <v>0</v>
      </c>
      <c r="U4" s="49">
        <f t="shared" ref="U4:U33" si="18">SUM(C4,F4,I4,L4,O4,R4-R3)-B4</f>
        <v>0</v>
      </c>
      <c r="V4" s="54">
        <v>0.66666666666666663</v>
      </c>
      <c r="W4" s="13">
        <f>SUM(D4,G4,J4,M4,P4,S4)</f>
        <v>295145.63106796111</v>
      </c>
      <c r="X4" s="25">
        <f>SUM(E4,H4,K4,N4,Q4,T4)</f>
        <v>635.46925566343032</v>
      </c>
    </row>
    <row r="5" spans="1:24" x14ac:dyDescent="0.2">
      <c r="A5" s="10">
        <v>2</v>
      </c>
      <c r="B5" s="15">
        <f>SUM(C4,F4,I4,L4,O4)</f>
        <v>1000</v>
      </c>
      <c r="C5" s="27">
        <f>(1-SUM(pHealthyStage1,pHealthyStage2,pHealthyStage3))*C4</f>
        <v>846.40000000000009</v>
      </c>
      <c r="D5" s="19">
        <f t="shared" si="2"/>
        <v>0</v>
      </c>
      <c r="E5" s="20">
        <f t="shared" si="1"/>
        <v>1063.7509033210797</v>
      </c>
      <c r="F5" s="27">
        <f t="shared" si="3"/>
        <v>79.5</v>
      </c>
      <c r="G5" s="19">
        <f t="shared" si="4"/>
        <v>159864.26618908474</v>
      </c>
      <c r="H5" s="20">
        <f t="shared" si="5"/>
        <v>87.925346403996599</v>
      </c>
      <c r="I5" s="27">
        <f t="shared" si="6"/>
        <v>35.900000000000006</v>
      </c>
      <c r="J5" s="19">
        <f t="shared" si="7"/>
        <v>324856.25412385713</v>
      </c>
      <c r="K5" s="20">
        <f t="shared" si="8"/>
        <v>32.034436170547025</v>
      </c>
      <c r="L5" s="27">
        <f t="shared" si="9"/>
        <v>17.200000000000003</v>
      </c>
      <c r="M5" s="19">
        <f t="shared" si="10"/>
        <v>501511.29544097785</v>
      </c>
      <c r="N5" s="20">
        <f t="shared" si="11"/>
        <v>7.7820718258082762</v>
      </c>
      <c r="O5" s="27">
        <f t="shared" si="12"/>
        <v>16.5</v>
      </c>
      <c r="P5" s="19">
        <f t="shared" si="13"/>
        <v>261287.58601187673</v>
      </c>
      <c r="Q5" s="20">
        <f t="shared" si="14"/>
        <v>19.700254500895465</v>
      </c>
      <c r="R5" s="27">
        <f t="shared" si="15"/>
        <v>4.5</v>
      </c>
      <c r="S5" s="19">
        <f t="shared" si="16"/>
        <v>0</v>
      </c>
      <c r="T5" s="23">
        <f t="shared" si="17"/>
        <v>0</v>
      </c>
      <c r="U5" s="49">
        <f t="shared" si="18"/>
        <v>0</v>
      </c>
      <c r="V5" s="54">
        <v>1.3333333333333333</v>
      </c>
      <c r="W5" s="13">
        <f t="shared" ref="W5:X33" si="19">SUM(D5,G5,J5,M5,P5,S5)</f>
        <v>1247519.4017657966</v>
      </c>
      <c r="X5" s="25">
        <f t="shared" si="19"/>
        <v>1211.1930122223271</v>
      </c>
    </row>
    <row r="6" spans="1:24" x14ac:dyDescent="0.2">
      <c r="A6" s="10">
        <v>3</v>
      </c>
      <c r="B6" s="15">
        <f t="shared" ref="B6:B33" si="20">SUM(C5,F5,I5,L5,O5)</f>
        <v>995.50000000000011</v>
      </c>
      <c r="C6" s="27">
        <f t="shared" ref="C6:C33" si="21">(1-SUM(pHealthyStage1,pHealthyStage2,pHealthyStage3))*C5</f>
        <v>778.6880000000001</v>
      </c>
      <c r="D6" s="19">
        <f t="shared" si="2"/>
        <v>0</v>
      </c>
      <c r="E6" s="20">
        <f t="shared" si="1"/>
        <v>475.07321895892881</v>
      </c>
      <c r="F6" s="27">
        <f t="shared" si="3"/>
        <v>96.615000000000009</v>
      </c>
      <c r="G6" s="19">
        <f t="shared" si="4"/>
        <v>94310.838846299215</v>
      </c>
      <c r="H6" s="20">
        <f t="shared" si="5"/>
        <v>51.870961365464574</v>
      </c>
      <c r="I6" s="27">
        <f t="shared" si="6"/>
        <v>47.608000000000004</v>
      </c>
      <c r="J6" s="19">
        <f t="shared" si="7"/>
        <v>209126.70776872907</v>
      </c>
      <c r="K6" s="20">
        <f t="shared" si="8"/>
        <v>20.622217016083006</v>
      </c>
      <c r="L6" s="27">
        <f t="shared" si="9"/>
        <v>22.449000000000002</v>
      </c>
      <c r="M6" s="19">
        <f t="shared" si="10"/>
        <v>317747.43371400179</v>
      </c>
      <c r="N6" s="20">
        <f t="shared" si="11"/>
        <v>4.9305636265965793</v>
      </c>
      <c r="O6" s="27">
        <f t="shared" si="12"/>
        <v>42.4</v>
      </c>
      <c r="P6" s="19">
        <f t="shared" si="13"/>
        <v>325936.85339522129</v>
      </c>
      <c r="Q6" s="20">
        <f t="shared" si="14"/>
        <v>24.574604025830173</v>
      </c>
      <c r="R6" s="27">
        <f t="shared" si="15"/>
        <v>12.240000000000002</v>
      </c>
      <c r="S6" s="19">
        <f t="shared" si="16"/>
        <v>0</v>
      </c>
      <c r="T6" s="23">
        <f t="shared" si="17"/>
        <v>0</v>
      </c>
      <c r="U6" s="49">
        <f t="shared" si="18"/>
        <v>0</v>
      </c>
      <c r="V6" s="54">
        <v>0.66666666666666663</v>
      </c>
      <c r="W6" s="13">
        <f t="shared" si="19"/>
        <v>947121.83372425137</v>
      </c>
      <c r="X6" s="25">
        <f t="shared" si="19"/>
        <v>577.07156499290318</v>
      </c>
    </row>
    <row r="7" spans="1:24" x14ac:dyDescent="0.2">
      <c r="A7" s="10">
        <v>4</v>
      </c>
      <c r="B7" s="15">
        <f t="shared" si="20"/>
        <v>987.76</v>
      </c>
      <c r="C7" s="27">
        <f t="shared" si="21"/>
        <v>716.39296000000013</v>
      </c>
      <c r="D7" s="19">
        <f t="shared" si="2"/>
        <v>0</v>
      </c>
      <c r="E7" s="20">
        <f t="shared" si="1"/>
        <v>848.67448823730979</v>
      </c>
      <c r="F7" s="27">
        <f t="shared" si="3"/>
        <v>106.23455000000003</v>
      </c>
      <c r="G7" s="19">
        <f t="shared" si="4"/>
        <v>201361.11299445693</v>
      </c>
      <c r="H7" s="20">
        <f t="shared" si="5"/>
        <v>110.7486121469513</v>
      </c>
      <c r="I7" s="27">
        <f t="shared" si="6"/>
        <v>55.770510000000002</v>
      </c>
      <c r="J7" s="19">
        <f t="shared" si="7"/>
        <v>475693.2075902631</v>
      </c>
      <c r="K7" s="20">
        <f t="shared" si="8"/>
        <v>46.908635748484286</v>
      </c>
      <c r="L7" s="27">
        <f t="shared" si="9"/>
        <v>26.15258</v>
      </c>
      <c r="M7" s="19">
        <f t="shared" si="10"/>
        <v>718774.004680307</v>
      </c>
      <c r="N7" s="20">
        <f t="shared" si="11"/>
        <v>11.153389727797867</v>
      </c>
      <c r="O7" s="27">
        <f t="shared" si="12"/>
        <v>73.107349999999997</v>
      </c>
      <c r="P7" s="19">
        <f t="shared" si="13"/>
        <v>1091242.8841849759</v>
      </c>
      <c r="Q7" s="20">
        <f t="shared" si="14"/>
        <v>82.276249204422783</v>
      </c>
      <c r="R7" s="27">
        <f t="shared" si="15"/>
        <v>22.34205</v>
      </c>
      <c r="S7" s="19">
        <f t="shared" si="16"/>
        <v>0</v>
      </c>
      <c r="T7" s="23">
        <f t="shared" si="17"/>
        <v>0</v>
      </c>
      <c r="U7" s="49">
        <f t="shared" si="18"/>
        <v>0</v>
      </c>
      <c r="V7" s="54">
        <v>1.3333333333333333</v>
      </c>
      <c r="W7" s="13">
        <f t="shared" si="19"/>
        <v>2487071.2094500028</v>
      </c>
      <c r="X7" s="25">
        <f t="shared" si="19"/>
        <v>1099.7613750649659</v>
      </c>
    </row>
    <row r="8" spans="1:24" x14ac:dyDescent="0.2">
      <c r="A8" s="10">
        <v>5</v>
      </c>
      <c r="B8" s="15">
        <f t="shared" si="20"/>
        <v>977.65795000000003</v>
      </c>
      <c r="C8" s="27">
        <f t="shared" si="21"/>
        <v>659.08152320000011</v>
      </c>
      <c r="D8" s="19">
        <f t="shared" si="2"/>
        <v>0</v>
      </c>
      <c r="E8" s="20">
        <f t="shared" si="1"/>
        <v>379.01967435841021</v>
      </c>
      <c r="F8" s="27">
        <f t="shared" si="3"/>
        <v>111.31599850000003</v>
      </c>
      <c r="G8" s="19">
        <f t="shared" si="4"/>
        <v>102423.63535850076</v>
      </c>
      <c r="H8" s="20">
        <f t="shared" si="5"/>
        <v>56.332999447175411</v>
      </c>
      <c r="I8" s="27">
        <f t="shared" si="6"/>
        <v>61.183396200000004</v>
      </c>
      <c r="J8" s="19">
        <f t="shared" si="7"/>
        <v>253331.20809876808</v>
      </c>
      <c r="K8" s="20">
        <f t="shared" si="8"/>
        <v>24.981271909739633</v>
      </c>
      <c r="L8" s="27">
        <f t="shared" si="9"/>
        <v>28.605796099999999</v>
      </c>
      <c r="M8" s="19">
        <f t="shared" si="10"/>
        <v>381649.4501358429</v>
      </c>
      <c r="N8" s="20">
        <f t="shared" si="11"/>
        <v>5.9221466400389424</v>
      </c>
      <c r="O8" s="27">
        <f t="shared" si="12"/>
        <v>105.70257500000001</v>
      </c>
      <c r="P8" s="19">
        <f t="shared" si="13"/>
        <v>765911.74570701784</v>
      </c>
      <c r="Q8" s="20">
        <f t="shared" si="14"/>
        <v>57.747314160449754</v>
      </c>
      <c r="R8" s="27">
        <f t="shared" si="15"/>
        <v>34.110711000000002</v>
      </c>
      <c r="S8" s="19">
        <f t="shared" si="16"/>
        <v>0</v>
      </c>
      <c r="T8" s="23">
        <f t="shared" si="17"/>
        <v>0</v>
      </c>
      <c r="U8" s="49">
        <f t="shared" si="18"/>
        <v>0</v>
      </c>
      <c r="V8" s="54">
        <v>0.66666666666666663</v>
      </c>
      <c r="W8" s="13">
        <f t="shared" si="19"/>
        <v>1503316.0393001295</v>
      </c>
      <c r="X8" s="25">
        <f t="shared" si="19"/>
        <v>524.00340651581394</v>
      </c>
    </row>
    <row r="9" spans="1:24" x14ac:dyDescent="0.2">
      <c r="A9" s="10">
        <v>6</v>
      </c>
      <c r="B9" s="15">
        <f t="shared" si="20"/>
        <v>965.8892890000003</v>
      </c>
      <c r="C9" s="27">
        <f t="shared" si="21"/>
        <v>606.35500134400013</v>
      </c>
      <c r="D9" s="19">
        <f t="shared" si="2"/>
        <v>0</v>
      </c>
      <c r="E9" s="20">
        <f t="shared" si="1"/>
        <v>677.08369011599495</v>
      </c>
      <c r="F9" s="27">
        <f t="shared" si="3"/>
        <v>113.65377374500002</v>
      </c>
      <c r="G9" s="19">
        <f t="shared" si="4"/>
        <v>203057.59194479694</v>
      </c>
      <c r="H9" s="20">
        <f t="shared" si="5"/>
        <v>111.68167556963834</v>
      </c>
      <c r="I9" s="27">
        <f t="shared" si="6"/>
        <v>64.567609339000015</v>
      </c>
      <c r="J9" s="19">
        <f t="shared" si="7"/>
        <v>519113.82060588483</v>
      </c>
      <c r="K9" s="20">
        <f t="shared" si="8"/>
        <v>51.190390643080313</v>
      </c>
      <c r="L9" s="27">
        <f t="shared" si="9"/>
        <v>30.071222712000001</v>
      </c>
      <c r="M9" s="19">
        <f t="shared" si="10"/>
        <v>779030.49857633119</v>
      </c>
      <c r="N9" s="20">
        <f t="shared" si="11"/>
        <v>12.088404288253415</v>
      </c>
      <c r="O9" s="27">
        <f t="shared" si="12"/>
        <v>138.36907361500002</v>
      </c>
      <c r="P9" s="19">
        <f t="shared" si="13"/>
        <v>1946816.2688429977</v>
      </c>
      <c r="Q9" s="20">
        <f t="shared" si="14"/>
        <v>146.78376630165457</v>
      </c>
      <c r="R9" s="27">
        <f t="shared" si="15"/>
        <v>46.983319245000004</v>
      </c>
      <c r="S9" s="19">
        <f t="shared" si="16"/>
        <v>0</v>
      </c>
      <c r="T9" s="23">
        <f t="shared" si="17"/>
        <v>0</v>
      </c>
      <c r="U9" s="49">
        <f t="shared" si="18"/>
        <v>0</v>
      </c>
      <c r="V9" s="54">
        <v>1.3333333333333333</v>
      </c>
      <c r="W9" s="13">
        <f t="shared" si="19"/>
        <v>3448018.1799700106</v>
      </c>
      <c r="X9" s="25">
        <f t="shared" si="19"/>
        <v>998.82792691862142</v>
      </c>
    </row>
    <row r="10" spans="1:24" x14ac:dyDescent="0.2">
      <c r="A10" s="10">
        <v>7</v>
      </c>
      <c r="B10" s="15">
        <f t="shared" si="20"/>
        <v>953.01668075500027</v>
      </c>
      <c r="C10" s="27">
        <f t="shared" si="21"/>
        <v>557.84660123648018</v>
      </c>
      <c r="D10" s="19">
        <f t="shared" si="2"/>
        <v>0</v>
      </c>
      <c r="E10" s="20">
        <f t="shared" si="1"/>
        <v>302.38689073141524</v>
      </c>
      <c r="F10" s="27">
        <f t="shared" si="3"/>
        <v>114.33953714915003</v>
      </c>
      <c r="G10" s="19">
        <f t="shared" si="4"/>
        <v>99166.40753802874</v>
      </c>
      <c r="H10" s="20">
        <f t="shared" si="5"/>
        <v>54.541524145915801</v>
      </c>
      <c r="I10" s="27">
        <f t="shared" si="6"/>
        <v>66.503985612680012</v>
      </c>
      <c r="J10" s="19">
        <f t="shared" si="7"/>
        <v>259554.36562641908</v>
      </c>
      <c r="K10" s="20">
        <f t="shared" si="8"/>
        <v>25.594944388160769</v>
      </c>
      <c r="L10" s="27">
        <f t="shared" si="9"/>
        <v>30.784302770290005</v>
      </c>
      <c r="M10" s="19">
        <f t="shared" si="10"/>
        <v>387137.70810093242</v>
      </c>
      <c r="N10" s="20">
        <f t="shared" si="11"/>
        <v>6.0073092636351566</v>
      </c>
      <c r="O10" s="27">
        <f t="shared" si="12"/>
        <v>170.01020376600002</v>
      </c>
      <c r="P10" s="19">
        <f t="shared" si="13"/>
        <v>1161164.3696006634</v>
      </c>
      <c r="Q10" s="20">
        <f t="shared" si="14"/>
        <v>87.548107231796038</v>
      </c>
      <c r="R10" s="27">
        <f t="shared" si="15"/>
        <v>60.515369465400006</v>
      </c>
      <c r="S10" s="19">
        <f t="shared" si="16"/>
        <v>0</v>
      </c>
      <c r="T10" s="23">
        <f t="shared" si="17"/>
        <v>0</v>
      </c>
      <c r="U10" s="49">
        <f t="shared" si="18"/>
        <v>0</v>
      </c>
      <c r="V10" s="54">
        <v>0.66666666666666663</v>
      </c>
      <c r="W10" s="13">
        <f t="shared" si="19"/>
        <v>1907022.8508660437</v>
      </c>
      <c r="X10" s="25">
        <f t="shared" si="19"/>
        <v>476.07877576092295</v>
      </c>
    </row>
    <row r="11" spans="1:24" x14ac:dyDescent="0.2">
      <c r="A11" s="10">
        <v>8</v>
      </c>
      <c r="B11" s="15">
        <f t="shared" si="20"/>
        <v>939.48463053460023</v>
      </c>
      <c r="C11" s="27">
        <f t="shared" si="21"/>
        <v>513.21887313756179</v>
      </c>
      <c r="D11" s="19">
        <f t="shared" si="2"/>
        <v>0</v>
      </c>
      <c r="E11" s="20">
        <f t="shared" si="1"/>
        <v>540.18629023864469</v>
      </c>
      <c r="F11" s="27">
        <f t="shared" si="3"/>
        <v>114.03873867770552</v>
      </c>
      <c r="G11" s="19">
        <f t="shared" si="4"/>
        <v>192049.56454761501</v>
      </c>
      <c r="H11" s="20">
        <f t="shared" si="5"/>
        <v>105.62726050118825</v>
      </c>
      <c r="I11" s="27">
        <f t="shared" si="6"/>
        <v>67.432696321087121</v>
      </c>
      <c r="J11" s="19">
        <f t="shared" si="7"/>
        <v>511027.13443731394</v>
      </c>
      <c r="K11" s="20">
        <f t="shared" si="8"/>
        <v>50.392953534790678</v>
      </c>
      <c r="L11" s="27">
        <f t="shared" si="9"/>
        <v>30.946215239411806</v>
      </c>
      <c r="M11" s="19">
        <f t="shared" si="10"/>
        <v>755677.45518367086</v>
      </c>
      <c r="N11" s="20">
        <f t="shared" si="11"/>
        <v>11.726029476987994</v>
      </c>
      <c r="O11" s="27">
        <f t="shared" si="12"/>
        <v>199.99517091220352</v>
      </c>
      <c r="P11" s="19">
        <f t="shared" si="13"/>
        <v>2652350.9835696262</v>
      </c>
      <c r="Q11" s="20">
        <f t="shared" si="14"/>
        <v>199.97884399929725</v>
      </c>
      <c r="R11" s="27">
        <f t="shared" si="15"/>
        <v>74.368305712030505</v>
      </c>
      <c r="S11" s="19">
        <f t="shared" si="16"/>
        <v>0</v>
      </c>
      <c r="T11" s="23">
        <f t="shared" si="17"/>
        <v>0</v>
      </c>
      <c r="U11" s="49">
        <f t="shared" si="18"/>
        <v>0</v>
      </c>
      <c r="V11" s="54">
        <v>1.3333333333333333</v>
      </c>
      <c r="W11" s="13">
        <f t="shared" si="19"/>
        <v>4111105.137738226</v>
      </c>
      <c r="X11" s="25">
        <f t="shared" si="19"/>
        <v>907.91137775090885</v>
      </c>
    </row>
    <row r="12" spans="1:24" x14ac:dyDescent="0.2">
      <c r="A12" s="10">
        <v>9</v>
      </c>
      <c r="B12" s="15">
        <f t="shared" si="20"/>
        <v>925.63169428796971</v>
      </c>
      <c r="C12" s="27">
        <f t="shared" si="21"/>
        <v>472.16136328655688</v>
      </c>
      <c r="D12" s="19">
        <f t="shared" si="2"/>
        <v>0</v>
      </c>
      <c r="E12" s="20">
        <f t="shared" si="1"/>
        <v>241.2482461259967</v>
      </c>
      <c r="F12" s="27">
        <f t="shared" si="3"/>
        <v>113.15751715905121</v>
      </c>
      <c r="G12" s="19">
        <f t="shared" si="4"/>
        <v>92507.535510568443</v>
      </c>
      <c r="H12" s="20">
        <f t="shared" si="5"/>
        <v>50.879144530812646</v>
      </c>
      <c r="I12" s="27">
        <f t="shared" si="6"/>
        <v>67.675083303388732</v>
      </c>
      <c r="J12" s="19">
        <f t="shared" si="7"/>
        <v>248963.11779103646</v>
      </c>
      <c r="K12" s="20">
        <f t="shared" si="8"/>
        <v>24.550529671060541</v>
      </c>
      <c r="L12" s="27">
        <f t="shared" si="9"/>
        <v>30.720200799244591</v>
      </c>
      <c r="M12" s="19">
        <f t="shared" si="10"/>
        <v>364154.56079542206</v>
      </c>
      <c r="N12" s="20">
        <f t="shared" si="11"/>
        <v>5.650674219239308</v>
      </c>
      <c r="O12" s="27">
        <f t="shared" si="12"/>
        <v>227.99173288199307</v>
      </c>
      <c r="P12" s="19">
        <f t="shared" si="13"/>
        <v>1467788.1029009367</v>
      </c>
      <c r="Q12" s="20">
        <f t="shared" si="14"/>
        <v>110.6665633139595</v>
      </c>
      <c r="R12" s="27">
        <f t="shared" si="15"/>
        <v>88.294102569765812</v>
      </c>
      <c r="S12" s="19">
        <f t="shared" si="16"/>
        <v>0</v>
      </c>
      <c r="T12" s="23">
        <f t="shared" si="17"/>
        <v>0</v>
      </c>
      <c r="U12" s="49">
        <f t="shared" si="18"/>
        <v>0</v>
      </c>
      <c r="V12" s="54">
        <v>0.66666666666666663</v>
      </c>
      <c r="W12" s="13">
        <f t="shared" si="19"/>
        <v>2173413.3169979639</v>
      </c>
      <c r="X12" s="25">
        <f t="shared" si="19"/>
        <v>432.99515786106866</v>
      </c>
    </row>
    <row r="13" spans="1:24" x14ac:dyDescent="0.2">
      <c r="A13" s="10">
        <v>10</v>
      </c>
      <c r="B13" s="15">
        <f t="shared" si="20"/>
        <v>911.70589743023447</v>
      </c>
      <c r="C13" s="27">
        <f t="shared" si="21"/>
        <v>434.38845422363232</v>
      </c>
      <c r="D13" s="19">
        <f t="shared" si="2"/>
        <v>0</v>
      </c>
      <c r="E13" s="20">
        <f t="shared" si="1"/>
        <v>430.96774065226595</v>
      </c>
      <c r="F13" s="27">
        <f t="shared" si="3"/>
        <v>111.94379512698023</v>
      </c>
      <c r="G13" s="19">
        <f t="shared" si="4"/>
        <v>177699.6197641209</v>
      </c>
      <c r="H13" s="20">
        <f t="shared" si="5"/>
        <v>97.734790870266494</v>
      </c>
      <c r="I13" s="27">
        <f t="shared" si="6"/>
        <v>67.459873661271587</v>
      </c>
      <c r="J13" s="19">
        <f t="shared" si="7"/>
        <v>481886.22231411887</v>
      </c>
      <c r="K13" s="20">
        <f t="shared" si="8"/>
        <v>47.519335811531164</v>
      </c>
      <c r="L13" s="27">
        <f t="shared" si="9"/>
        <v>30.232976527996172</v>
      </c>
      <c r="M13" s="19">
        <f t="shared" si="10"/>
        <v>695881.64485037513</v>
      </c>
      <c r="N13" s="20">
        <f t="shared" si="11"/>
        <v>10.798163454574787</v>
      </c>
      <c r="O13" s="27">
        <f t="shared" si="12"/>
        <v>253.85670753069411</v>
      </c>
      <c r="P13" s="19">
        <f t="shared" si="13"/>
        <v>3173406.28633236</v>
      </c>
      <c r="Q13" s="20">
        <f t="shared" si="14"/>
        <v>239.26475968378907</v>
      </c>
      <c r="R13" s="27">
        <f t="shared" si="15"/>
        <v>102.11819292942587</v>
      </c>
      <c r="S13" s="19">
        <f t="shared" si="16"/>
        <v>0</v>
      </c>
      <c r="T13" s="23">
        <f t="shared" si="17"/>
        <v>0</v>
      </c>
      <c r="U13" s="49">
        <f t="shared" si="18"/>
        <v>0</v>
      </c>
      <c r="V13" s="54">
        <v>1.3333333333333333</v>
      </c>
      <c r="W13" s="13">
        <f t="shared" si="19"/>
        <v>4528873.7732609753</v>
      </c>
      <c r="X13" s="25">
        <f t="shared" si="19"/>
        <v>826.28479047242752</v>
      </c>
    </row>
    <row r="14" spans="1:24" x14ac:dyDescent="0.2">
      <c r="A14" s="10">
        <v>11</v>
      </c>
      <c r="B14" s="15">
        <f t="shared" si="20"/>
        <v>897.88180707057427</v>
      </c>
      <c r="C14" s="27">
        <f t="shared" si="21"/>
        <v>399.63737788574173</v>
      </c>
      <c r="D14" s="19">
        <f t="shared" si="2"/>
        <v>0</v>
      </c>
      <c r="E14" s="20">
        <f t="shared" si="1"/>
        <v>192.47102980586635</v>
      </c>
      <c r="F14" s="27">
        <f t="shared" si="3"/>
        <v>110.54871860331706</v>
      </c>
      <c r="G14" s="19">
        <f t="shared" si="4"/>
        <v>85186.929514416683</v>
      </c>
      <c r="H14" s="20">
        <f t="shared" si="5"/>
        <v>46.852811232929177</v>
      </c>
      <c r="I14" s="27">
        <f t="shared" si="6"/>
        <v>66.946855770947309</v>
      </c>
      <c r="J14" s="19">
        <f t="shared" si="7"/>
        <v>232146.39844954066</v>
      </c>
      <c r="K14" s="20">
        <f t="shared" si="8"/>
        <v>22.892214291551923</v>
      </c>
      <c r="L14" s="27">
        <f t="shared" si="9"/>
        <v>29.579353855425147</v>
      </c>
      <c r="M14" s="19">
        <f t="shared" si="10"/>
        <v>330503.40406553593</v>
      </c>
      <c r="N14" s="20">
        <f t="shared" si="11"/>
        <v>5.1285010975686616</v>
      </c>
      <c r="O14" s="27">
        <f t="shared" si="12"/>
        <v>277.56466151754489</v>
      </c>
      <c r="P14" s="19">
        <f t="shared" si="13"/>
        <v>1684356.3837425483</v>
      </c>
      <c r="Q14" s="20">
        <f t="shared" si="14"/>
        <v>126.99512417106516</v>
      </c>
      <c r="R14" s="27">
        <f t="shared" si="15"/>
        <v>115.72303236702415</v>
      </c>
      <c r="S14" s="19">
        <f t="shared" si="16"/>
        <v>0</v>
      </c>
      <c r="T14" s="23">
        <f t="shared" si="17"/>
        <v>0</v>
      </c>
      <c r="U14" s="49">
        <f t="shared" si="18"/>
        <v>0</v>
      </c>
      <c r="V14" s="54">
        <v>0.66666666666666663</v>
      </c>
      <c r="W14" s="13">
        <f t="shared" si="19"/>
        <v>2332193.1157720415</v>
      </c>
      <c r="X14" s="25">
        <f t="shared" si="19"/>
        <v>394.33968059898132</v>
      </c>
    </row>
    <row r="15" spans="1:24" x14ac:dyDescent="0.2">
      <c r="A15" s="10">
        <v>12</v>
      </c>
      <c r="B15" s="15">
        <f t="shared" si="20"/>
        <v>884.27696763297604</v>
      </c>
      <c r="C15" s="27">
        <f t="shared" si="21"/>
        <v>367.66638765488239</v>
      </c>
      <c r="D15" s="19">
        <f t="shared" si="2"/>
        <v>0</v>
      </c>
      <c r="E15" s="20">
        <f t="shared" si="1"/>
        <v>343.83174256581952</v>
      </c>
      <c r="F15" s="27">
        <f t="shared" si="3"/>
        <v>109.06411185086779</v>
      </c>
      <c r="G15" s="19">
        <f t="shared" si="4"/>
        <v>163190.13056707132</v>
      </c>
      <c r="H15" s="20">
        <f t="shared" si="5"/>
        <v>89.754571811889221</v>
      </c>
      <c r="I15" s="27">
        <f t="shared" si="6"/>
        <v>66.245993803737079</v>
      </c>
      <c r="J15" s="19">
        <f t="shared" si="7"/>
        <v>446050.62909436371</v>
      </c>
      <c r="K15" s="20">
        <f t="shared" si="8"/>
        <v>43.985548146805307</v>
      </c>
      <c r="L15" s="27">
        <f t="shared" si="9"/>
        <v>28.828079072212088</v>
      </c>
      <c r="M15" s="19">
        <f t="shared" si="10"/>
        <v>625454.51171198767</v>
      </c>
      <c r="N15" s="20">
        <f t="shared" si="11"/>
        <v>9.7053286300136019</v>
      </c>
      <c r="O15" s="27">
        <f t="shared" si="12"/>
        <v>299.16168601633547</v>
      </c>
      <c r="P15" s="19">
        <f t="shared" si="13"/>
        <v>3525076.5899406155</v>
      </c>
      <c r="Q15" s="20">
        <f t="shared" si="14"/>
        <v>265.77958416218928</v>
      </c>
      <c r="R15" s="27">
        <f t="shared" si="15"/>
        <v>129.03374160196546</v>
      </c>
      <c r="S15" s="19">
        <f t="shared" si="16"/>
        <v>0</v>
      </c>
      <c r="T15" s="23">
        <f t="shared" si="17"/>
        <v>0</v>
      </c>
      <c r="U15" s="49">
        <f t="shared" si="18"/>
        <v>0</v>
      </c>
      <c r="V15" s="54">
        <v>1.3333333333333333</v>
      </c>
      <c r="W15" s="13">
        <f t="shared" si="19"/>
        <v>4759771.8613140378</v>
      </c>
      <c r="X15" s="25">
        <f t="shared" si="19"/>
        <v>753.05677531671688</v>
      </c>
    </row>
    <row r="16" spans="1:24" x14ac:dyDescent="0.2">
      <c r="A16" s="10">
        <v>13</v>
      </c>
      <c r="B16" s="15">
        <f t="shared" si="20"/>
        <v>870.96625839803482</v>
      </c>
      <c r="C16" s="27">
        <f t="shared" si="21"/>
        <v>338.25307664249181</v>
      </c>
      <c r="D16" s="19">
        <f t="shared" si="2"/>
        <v>0</v>
      </c>
      <c r="E16" s="20">
        <f t="shared" si="1"/>
        <v>153.5559238643466</v>
      </c>
      <c r="F16" s="27">
        <f t="shared" si="3"/>
        <v>107.54537607681181</v>
      </c>
      <c r="G16" s="19">
        <f t="shared" si="4"/>
        <v>78115.3791462136</v>
      </c>
      <c r="H16" s="20">
        <f t="shared" si="5"/>
        <v>42.963458530417483</v>
      </c>
      <c r="I16" s="27">
        <f t="shared" si="6"/>
        <v>65.431972894363994</v>
      </c>
      <c r="J16" s="19">
        <f t="shared" si="7"/>
        <v>213868.75017990937</v>
      </c>
      <c r="K16" s="20">
        <f t="shared" si="8"/>
        <v>21.089835087185509</v>
      </c>
      <c r="L16" s="27">
        <f t="shared" si="9"/>
        <v>28.027602483215432</v>
      </c>
      <c r="M16" s="19">
        <f t="shared" si="10"/>
        <v>295188.03763440443</v>
      </c>
      <c r="N16" s="20">
        <f t="shared" si="11"/>
        <v>4.5805040322580002</v>
      </c>
      <c r="O16" s="27">
        <f t="shared" si="12"/>
        <v>318.73559471865633</v>
      </c>
      <c r="P16" s="19">
        <f t="shared" si="13"/>
        <v>1823164.8147484083</v>
      </c>
      <c r="Q16" s="20">
        <f t="shared" si="14"/>
        <v>137.46083920722128</v>
      </c>
      <c r="R16" s="27">
        <f t="shared" si="15"/>
        <v>142.00637718446089</v>
      </c>
      <c r="S16" s="19">
        <f t="shared" si="16"/>
        <v>0</v>
      </c>
      <c r="T16" s="23">
        <f t="shared" si="17"/>
        <v>0</v>
      </c>
      <c r="U16" s="49">
        <f t="shared" si="18"/>
        <v>0</v>
      </c>
      <c r="V16" s="54">
        <v>0.66666666666666663</v>
      </c>
      <c r="W16" s="13">
        <f t="shared" si="19"/>
        <v>2410336.9817089355</v>
      </c>
      <c r="X16" s="25">
        <f t="shared" si="19"/>
        <v>359.65056072142886</v>
      </c>
    </row>
    <row r="17" spans="1:24" x14ac:dyDescent="0.2">
      <c r="A17" s="10">
        <v>14</v>
      </c>
      <c r="B17" s="15">
        <f t="shared" si="20"/>
        <v>857.99362281553931</v>
      </c>
      <c r="C17" s="27">
        <f t="shared" si="21"/>
        <v>311.1928305110925</v>
      </c>
      <c r="D17" s="19">
        <f t="shared" si="2"/>
        <v>0</v>
      </c>
      <c r="E17" s="20">
        <f t="shared" si="1"/>
        <v>274.31349505863858</v>
      </c>
      <c r="F17" s="27">
        <f t="shared" si="3"/>
        <v>106.02552666270329</v>
      </c>
      <c r="G17" s="19">
        <f t="shared" si="4"/>
        <v>149536.7755690878</v>
      </c>
      <c r="H17" s="20">
        <f t="shared" si="5"/>
        <v>82.245226562998297</v>
      </c>
      <c r="I17" s="27">
        <f t="shared" si="6"/>
        <v>64.554874895683312</v>
      </c>
      <c r="J17" s="19">
        <f t="shared" si="7"/>
        <v>409712.42156092438</v>
      </c>
      <c r="K17" s="20">
        <f t="shared" si="8"/>
        <v>40.402197126146703</v>
      </c>
      <c r="L17" s="27">
        <f t="shared" si="9"/>
        <v>27.211127942187233</v>
      </c>
      <c r="M17" s="19">
        <f t="shared" si="10"/>
        <v>556483.27975537896</v>
      </c>
      <c r="N17" s="20">
        <f t="shared" si="11"/>
        <v>8.6350853755144996</v>
      </c>
      <c r="O17" s="27">
        <f t="shared" si="12"/>
        <v>336.39684168642611</v>
      </c>
      <c r="P17" s="19">
        <f t="shared" si="13"/>
        <v>3736285.4232487297</v>
      </c>
      <c r="Q17" s="20">
        <f t="shared" si="14"/>
        <v>281.70405968938837</v>
      </c>
      <c r="R17" s="27">
        <f t="shared" si="15"/>
        <v>154.61879830190784</v>
      </c>
      <c r="S17" s="19">
        <f t="shared" si="16"/>
        <v>0</v>
      </c>
      <c r="T17" s="23">
        <f t="shared" si="17"/>
        <v>0</v>
      </c>
      <c r="U17" s="49">
        <f t="shared" si="18"/>
        <v>0</v>
      </c>
      <c r="V17" s="54">
        <v>1.3333333333333333</v>
      </c>
      <c r="W17" s="13">
        <f t="shared" si="19"/>
        <v>4852017.9001341211</v>
      </c>
      <c r="X17" s="25">
        <f t="shared" si="19"/>
        <v>687.3000638126864</v>
      </c>
    </row>
    <row r="18" spans="1:24" x14ac:dyDescent="0.2">
      <c r="A18" s="10">
        <v>15</v>
      </c>
      <c r="B18" s="15">
        <f t="shared" si="20"/>
        <v>845.38120169809247</v>
      </c>
      <c r="C18" s="27">
        <f t="shared" si="21"/>
        <v>286.29740407020512</v>
      </c>
      <c r="D18" s="19">
        <f t="shared" si="2"/>
        <v>0</v>
      </c>
      <c r="E18" s="20">
        <f t="shared" si="1"/>
        <v>122.5089395407512</v>
      </c>
      <c r="F18" s="27">
        <f t="shared" si="3"/>
        <v>104.52381968541724</v>
      </c>
      <c r="G18" s="19">
        <f t="shared" si="4"/>
        <v>71562.519949466965</v>
      </c>
      <c r="H18" s="20">
        <f t="shared" si="5"/>
        <v>39.35938597220683</v>
      </c>
      <c r="I18" s="27">
        <f t="shared" si="6"/>
        <v>63.647827444740045</v>
      </c>
      <c r="J18" s="19">
        <f t="shared" si="7"/>
        <v>196094.96866200527</v>
      </c>
      <c r="K18" s="20">
        <f t="shared" si="8"/>
        <v>19.337142743058855</v>
      </c>
      <c r="L18" s="27">
        <f t="shared" si="9"/>
        <v>26.400723510557036</v>
      </c>
      <c r="M18" s="19">
        <f t="shared" si="10"/>
        <v>262092.25298660531</v>
      </c>
      <c r="N18" s="20">
        <f t="shared" si="11"/>
        <v>4.0669487532404274</v>
      </c>
      <c r="O18" s="27">
        <f t="shared" si="12"/>
        <v>352.26641941318871</v>
      </c>
      <c r="P18" s="19">
        <f t="shared" si="13"/>
        <v>1899293.843722953</v>
      </c>
      <c r="Q18" s="20">
        <f t="shared" si="14"/>
        <v>143.20072631244486</v>
      </c>
      <c r="R18" s="27">
        <f t="shared" si="15"/>
        <v>166.8638058758921</v>
      </c>
      <c r="S18" s="19">
        <f t="shared" si="16"/>
        <v>0</v>
      </c>
      <c r="T18" s="23">
        <f t="shared" si="17"/>
        <v>0</v>
      </c>
      <c r="U18" s="49">
        <f t="shared" si="18"/>
        <v>0</v>
      </c>
      <c r="V18" s="54">
        <v>0.66666666666666663</v>
      </c>
      <c r="W18" s="13">
        <f t="shared" si="19"/>
        <v>2429043.5853210306</v>
      </c>
      <c r="X18" s="25">
        <f t="shared" si="19"/>
        <v>328.4731433217022</v>
      </c>
    </row>
    <row r="19" spans="1:24" x14ac:dyDescent="0.2">
      <c r="A19" s="10">
        <v>16</v>
      </c>
      <c r="B19" s="15">
        <f t="shared" si="20"/>
        <v>833.13619412410821</v>
      </c>
      <c r="C19" s="27">
        <f t="shared" si="21"/>
        <v>263.39361174458872</v>
      </c>
      <c r="D19" s="19">
        <f t="shared" si="2"/>
        <v>0</v>
      </c>
      <c r="E19" s="20">
        <f t="shared" si="1"/>
        <v>218.850921121342</v>
      </c>
      <c r="F19" s="27">
        <f t="shared" si="3"/>
        <v>103.05106534192791</v>
      </c>
      <c r="G19" s="19">
        <f t="shared" si="4"/>
        <v>136998.43620800262</v>
      </c>
      <c r="H19" s="20">
        <f t="shared" si="5"/>
        <v>75.349139914401448</v>
      </c>
      <c r="I19" s="27">
        <f t="shared" si="6"/>
        <v>62.732391080581486</v>
      </c>
      <c r="J19" s="19">
        <f t="shared" si="7"/>
        <v>375290.42054059362</v>
      </c>
      <c r="K19" s="20">
        <f t="shared" si="8"/>
        <v>37.00780535886409</v>
      </c>
      <c r="L19" s="27">
        <f t="shared" si="9"/>
        <v>25.610509912691576</v>
      </c>
      <c r="M19" s="19">
        <f t="shared" si="10"/>
        <v>493684.34042730008</v>
      </c>
      <c r="N19" s="20">
        <f t="shared" si="11"/>
        <v>7.6606190755960348</v>
      </c>
      <c r="O19" s="27">
        <f t="shared" si="12"/>
        <v>366.46829046456781</v>
      </c>
      <c r="P19" s="19">
        <f t="shared" si="13"/>
        <v>3836631.504552546</v>
      </c>
      <c r="Q19" s="20">
        <f t="shared" si="14"/>
        <v>289.26983566070788</v>
      </c>
      <c r="R19" s="27">
        <f t="shared" si="15"/>
        <v>178.74413145564276</v>
      </c>
      <c r="S19" s="19">
        <f t="shared" si="16"/>
        <v>0</v>
      </c>
      <c r="T19" s="23">
        <f t="shared" si="17"/>
        <v>0</v>
      </c>
      <c r="U19" s="49">
        <f t="shared" si="18"/>
        <v>0</v>
      </c>
      <c r="V19" s="54">
        <v>1.3333333333333333</v>
      </c>
      <c r="W19" s="13">
        <f t="shared" si="19"/>
        <v>4842604.7017284427</v>
      </c>
      <c r="X19" s="25">
        <f t="shared" si="19"/>
        <v>628.13832113091144</v>
      </c>
    </row>
    <row r="20" spans="1:24" x14ac:dyDescent="0.2">
      <c r="A20" s="10">
        <v>17</v>
      </c>
      <c r="B20" s="15">
        <f t="shared" si="20"/>
        <v>821.25586854435755</v>
      </c>
      <c r="C20" s="27">
        <f t="shared" si="21"/>
        <v>242.32212280502165</v>
      </c>
      <c r="D20" s="19">
        <f t="shared" si="2"/>
        <v>0</v>
      </c>
      <c r="E20" s="20">
        <f t="shared" si="1"/>
        <v>97.739246326036238</v>
      </c>
      <c r="F20" s="27">
        <f t="shared" si="3"/>
        <v>101.61290713674003</v>
      </c>
      <c r="G20" s="19">
        <f t="shared" si="4"/>
        <v>65575.97858968025</v>
      </c>
      <c r="H20" s="20">
        <f t="shared" si="5"/>
        <v>36.066788224324142</v>
      </c>
      <c r="I20" s="27">
        <f t="shared" si="6"/>
        <v>61.822304722359391</v>
      </c>
      <c r="J20" s="19">
        <f t="shared" si="7"/>
        <v>179536.85316986058</v>
      </c>
      <c r="K20" s="20">
        <f t="shared" si="8"/>
        <v>17.704328576472363</v>
      </c>
      <c r="L20" s="27">
        <f t="shared" si="9"/>
        <v>24.8490497358789</v>
      </c>
      <c r="M20" s="19">
        <f t="shared" si="10"/>
        <v>232527.16205910433</v>
      </c>
      <c r="N20" s="20">
        <f t="shared" si="11"/>
        <v>3.6081801009171368</v>
      </c>
      <c r="O20" s="27">
        <f t="shared" si="12"/>
        <v>379.1247546836463</v>
      </c>
      <c r="P20" s="19">
        <f t="shared" si="13"/>
        <v>1926764.3775279522</v>
      </c>
      <c r="Q20" s="20">
        <f t="shared" si="14"/>
        <v>145.27191735329797</v>
      </c>
      <c r="R20" s="27">
        <f t="shared" si="15"/>
        <v>190.26886091635396</v>
      </c>
      <c r="S20" s="19">
        <f t="shared" si="16"/>
        <v>0</v>
      </c>
      <c r="T20" s="23">
        <f t="shared" si="17"/>
        <v>0</v>
      </c>
      <c r="U20" s="49">
        <f t="shared" si="18"/>
        <v>0</v>
      </c>
      <c r="V20" s="54">
        <v>0.66666666666666663</v>
      </c>
      <c r="W20" s="13">
        <f t="shared" si="19"/>
        <v>2404404.3713465976</v>
      </c>
      <c r="X20" s="25">
        <f t="shared" si="19"/>
        <v>300.39046058104782</v>
      </c>
    </row>
    <row r="21" spans="1:24" x14ac:dyDescent="0.2">
      <c r="A21" s="10">
        <v>18</v>
      </c>
      <c r="B21" s="15">
        <f t="shared" si="20"/>
        <v>809.73113908364621</v>
      </c>
      <c r="C21" s="27">
        <f t="shared" si="21"/>
        <v>222.93635298061992</v>
      </c>
      <c r="D21" s="19">
        <f t="shared" si="2"/>
        <v>0</v>
      </c>
      <c r="E21" s="20">
        <f t="shared" si="1"/>
        <v>174.60214877660846</v>
      </c>
      <c r="F21" s="27">
        <f t="shared" si="3"/>
        <v>100.21184874943239</v>
      </c>
      <c r="G21" s="19">
        <f t="shared" si="4"/>
        <v>125576.31909264025</v>
      </c>
      <c r="H21" s="20">
        <f t="shared" si="5"/>
        <v>69.066975500952125</v>
      </c>
      <c r="I21" s="27">
        <f t="shared" si="6"/>
        <v>60.926063583656941</v>
      </c>
      <c r="J21" s="19">
        <f t="shared" si="7"/>
        <v>343561.3556383379</v>
      </c>
      <c r="K21" s="20">
        <f t="shared" si="8"/>
        <v>33.878967014336091</v>
      </c>
      <c r="L21" s="27">
        <f t="shared" si="9"/>
        <v>24.121091804343575</v>
      </c>
      <c r="M21" s="19">
        <f t="shared" si="10"/>
        <v>438282.00364263792</v>
      </c>
      <c r="N21" s="20">
        <f t="shared" si="11"/>
        <v>6.8009276427305885</v>
      </c>
      <c r="O21" s="27">
        <f t="shared" si="12"/>
        <v>390.35370958444793</v>
      </c>
      <c r="P21" s="19">
        <f t="shared" si="13"/>
        <v>3852099.9564250088</v>
      </c>
      <c r="Q21" s="20">
        <f t="shared" si="14"/>
        <v>290.4361078256951</v>
      </c>
      <c r="R21" s="27">
        <f t="shared" si="15"/>
        <v>201.45093329749946</v>
      </c>
      <c r="S21" s="19">
        <f t="shared" si="16"/>
        <v>0</v>
      </c>
      <c r="T21" s="23">
        <f t="shared" si="17"/>
        <v>0</v>
      </c>
      <c r="U21" s="49">
        <f t="shared" si="18"/>
        <v>0</v>
      </c>
      <c r="V21" s="54">
        <v>1.3333333333333333</v>
      </c>
      <c r="W21" s="13">
        <f t="shared" si="19"/>
        <v>4759519.6347986246</v>
      </c>
      <c r="X21" s="25">
        <f t="shared" si="19"/>
        <v>574.78512676032233</v>
      </c>
    </row>
    <row r="22" spans="1:24" x14ac:dyDescent="0.2">
      <c r="A22" s="10">
        <v>19</v>
      </c>
      <c r="B22" s="15">
        <f t="shared" si="20"/>
        <v>798.5490667025008</v>
      </c>
      <c r="C22" s="27">
        <f t="shared" si="21"/>
        <v>205.10144474217034</v>
      </c>
      <c r="D22" s="19">
        <f t="shared" si="2"/>
        <v>0</v>
      </c>
      <c r="E22" s="20">
        <f t="shared" si="1"/>
        <v>77.977658676931924</v>
      </c>
      <c r="F22" s="27">
        <f t="shared" si="3"/>
        <v>98.848507994567285</v>
      </c>
      <c r="G22" s="19">
        <f t="shared" si="4"/>
        <v>60130.051072542483</v>
      </c>
      <c r="H22" s="20">
        <f t="shared" si="5"/>
        <v>33.071528089898365</v>
      </c>
      <c r="I22" s="27">
        <f t="shared" si="6"/>
        <v>60.048678866655941</v>
      </c>
      <c r="J22" s="19">
        <f t="shared" si="7"/>
        <v>164375.62793361803</v>
      </c>
      <c r="K22" s="20">
        <f t="shared" si="8"/>
        <v>16.209263310120669</v>
      </c>
      <c r="L22" s="27">
        <f t="shared" si="9"/>
        <v>23.428818969526525</v>
      </c>
      <c r="M22" s="19">
        <f t="shared" si="10"/>
        <v>206652.11435081976</v>
      </c>
      <c r="N22" s="20">
        <f t="shared" si="11"/>
        <v>3.2066707399265137</v>
      </c>
      <c r="O22" s="27">
        <f t="shared" si="12"/>
        <v>400.26712481762604</v>
      </c>
      <c r="P22" s="19">
        <f t="shared" si="13"/>
        <v>1917440.685515685</v>
      </c>
      <c r="Q22" s="20">
        <f t="shared" si="14"/>
        <v>144.5689405745953</v>
      </c>
      <c r="R22" s="27">
        <f t="shared" si="15"/>
        <v>212.30542460945406</v>
      </c>
      <c r="S22" s="19">
        <f t="shared" si="16"/>
        <v>0</v>
      </c>
      <c r="T22" s="23">
        <f t="shared" si="17"/>
        <v>0</v>
      </c>
      <c r="U22" s="49">
        <f t="shared" si="18"/>
        <v>0</v>
      </c>
      <c r="V22" s="54">
        <v>0.66666666666666663</v>
      </c>
      <c r="W22" s="13">
        <f t="shared" si="19"/>
        <v>2348598.4788726652</v>
      </c>
      <c r="X22" s="25">
        <f t="shared" si="19"/>
        <v>275.03406139147279</v>
      </c>
    </row>
    <row r="23" spans="1:24" x14ac:dyDescent="0.2">
      <c r="A23" s="10">
        <v>20</v>
      </c>
      <c r="B23" s="15">
        <f t="shared" si="20"/>
        <v>787.69457539054611</v>
      </c>
      <c r="C23" s="27">
        <f t="shared" si="21"/>
        <v>188.69332916279672</v>
      </c>
      <c r="D23" s="19">
        <f t="shared" si="2"/>
        <v>0</v>
      </c>
      <c r="E23" s="20">
        <f t="shared" si="1"/>
        <v>139.29989511218909</v>
      </c>
      <c r="F23" s="27">
        <f t="shared" si="3"/>
        <v>97.522392617791368</v>
      </c>
      <c r="G23" s="19">
        <f t="shared" si="4"/>
        <v>115191.00646978454</v>
      </c>
      <c r="H23" s="20">
        <f t="shared" si="5"/>
        <v>63.355053558381499</v>
      </c>
      <c r="I23" s="27">
        <f t="shared" si="6"/>
        <v>59.192870459122538</v>
      </c>
      <c r="J23" s="19">
        <f t="shared" si="7"/>
        <v>314627.10906152346</v>
      </c>
      <c r="K23" s="20">
        <f t="shared" si="8"/>
        <v>31.025728810233566</v>
      </c>
      <c r="L23" s="27">
        <f t="shared" si="9"/>
        <v>22.772725762183356</v>
      </c>
      <c r="M23" s="19">
        <f t="shared" si="10"/>
        <v>390029.30904150184</v>
      </c>
      <c r="N23" s="20">
        <f t="shared" si="11"/>
        <v>6.0521789334026144</v>
      </c>
      <c r="O23" s="27">
        <f t="shared" si="12"/>
        <v>408.97028885236523</v>
      </c>
      <c r="P23" s="19">
        <f t="shared" si="13"/>
        <v>3804140.476418294</v>
      </c>
      <c r="Q23" s="20">
        <f t="shared" si="14"/>
        <v>286.82011528550635</v>
      </c>
      <c r="R23" s="27">
        <f t="shared" si="15"/>
        <v>222.848393145741</v>
      </c>
      <c r="S23" s="19">
        <f t="shared" si="16"/>
        <v>0</v>
      </c>
      <c r="T23" s="23">
        <f t="shared" si="17"/>
        <v>0</v>
      </c>
      <c r="U23" s="49">
        <f t="shared" si="18"/>
        <v>0</v>
      </c>
      <c r="V23" s="54">
        <v>1.3333333333333333</v>
      </c>
      <c r="W23" s="13">
        <f t="shared" si="19"/>
        <v>4623987.9009911036</v>
      </c>
      <c r="X23" s="25">
        <f t="shared" si="19"/>
        <v>526.55297169971311</v>
      </c>
    </row>
    <row r="24" spans="1:24" x14ac:dyDescent="0.2">
      <c r="A24" s="10">
        <v>21</v>
      </c>
      <c r="B24" s="15">
        <f t="shared" si="20"/>
        <v>777.15160685425917</v>
      </c>
      <c r="C24" s="27">
        <f t="shared" si="21"/>
        <v>173.59786282977299</v>
      </c>
      <c r="D24" s="19">
        <f t="shared" si="2"/>
        <v>0</v>
      </c>
      <c r="E24" s="20">
        <f t="shared" si="1"/>
        <v>62.21160364233689</v>
      </c>
      <c r="F24" s="27">
        <f t="shared" si="3"/>
        <v>96.232379625278611</v>
      </c>
      <c r="G24" s="19">
        <f t="shared" si="4"/>
        <v>55178.289052346234</v>
      </c>
      <c r="H24" s="20">
        <f t="shared" si="5"/>
        <v>30.34805897879043</v>
      </c>
      <c r="I24" s="27">
        <f t="shared" si="6"/>
        <v>58.359870185665073</v>
      </c>
      <c r="J24" s="19">
        <f t="shared" si="7"/>
        <v>150582.26861016566</v>
      </c>
      <c r="K24" s="20">
        <f t="shared" si="8"/>
        <v>14.849084821280224</v>
      </c>
      <c r="L24" s="27">
        <f t="shared" si="9"/>
        <v>22.152226741588024</v>
      </c>
      <c r="M24" s="19">
        <f t="shared" si="10"/>
        <v>184175.72794491026</v>
      </c>
      <c r="N24" s="20">
        <f t="shared" si="11"/>
        <v>2.8578992267313663</v>
      </c>
      <c r="O24" s="27">
        <f t="shared" si="12"/>
        <v>416.56154087897198</v>
      </c>
      <c r="P24" s="19">
        <f t="shared" si="13"/>
        <v>1880947.779236862</v>
      </c>
      <c r="Q24" s="20">
        <f t="shared" si="14"/>
        <v>141.81749129166815</v>
      </c>
      <c r="R24" s="27">
        <f t="shared" si="15"/>
        <v>233.0961197387235</v>
      </c>
      <c r="S24" s="19">
        <f t="shared" si="16"/>
        <v>0</v>
      </c>
      <c r="T24" s="23">
        <f t="shared" si="17"/>
        <v>0</v>
      </c>
      <c r="U24" s="49">
        <f t="shared" si="18"/>
        <v>0</v>
      </c>
      <c r="V24" s="54">
        <v>0.66666666666666663</v>
      </c>
      <c r="W24" s="13">
        <f t="shared" si="19"/>
        <v>2270884.0648442842</v>
      </c>
      <c r="X24" s="25">
        <f t="shared" si="19"/>
        <v>252.08413796080706</v>
      </c>
    </row>
    <row r="25" spans="1:24" x14ac:dyDescent="0.2">
      <c r="A25" s="10">
        <v>22</v>
      </c>
      <c r="B25" s="15">
        <f t="shared" si="20"/>
        <v>766.90388026127664</v>
      </c>
      <c r="C25" s="27">
        <f t="shared" si="21"/>
        <v>159.71003380339116</v>
      </c>
      <c r="D25" s="19">
        <f t="shared" si="2"/>
        <v>0</v>
      </c>
      <c r="E25" s="20">
        <f t="shared" si="1"/>
        <v>111.13529194359209</v>
      </c>
      <c r="F25" s="27">
        <f t="shared" si="3"/>
        <v>94.9770104511516</v>
      </c>
      <c r="G25" s="19">
        <f t="shared" si="4"/>
        <v>105744.617622833</v>
      </c>
      <c r="H25" s="20">
        <f t="shared" si="5"/>
        <v>58.159539692558148</v>
      </c>
      <c r="I25" s="27">
        <f t="shared" si="6"/>
        <v>57.549959485181205</v>
      </c>
      <c r="J25" s="19">
        <f t="shared" si="7"/>
        <v>288334.96590156178</v>
      </c>
      <c r="K25" s="20">
        <f t="shared" si="8"/>
        <v>28.433031359737349</v>
      </c>
      <c r="L25" s="27">
        <f t="shared" si="9"/>
        <v>21.566072526941504</v>
      </c>
      <c r="M25" s="19">
        <f t="shared" si="10"/>
        <v>348159.97251596896</v>
      </c>
      <c r="N25" s="20">
        <f t="shared" si="11"/>
        <v>5.4024823321443458</v>
      </c>
      <c r="O25" s="27">
        <f t="shared" si="12"/>
        <v>423.1323019608966</v>
      </c>
      <c r="P25" s="19">
        <f t="shared" si="13"/>
        <v>3709936.8646129048</v>
      </c>
      <c r="Q25" s="20">
        <f t="shared" si="14"/>
        <v>279.71746201446501</v>
      </c>
      <c r="R25" s="27">
        <f t="shared" si="15"/>
        <v>243.0646217724381</v>
      </c>
      <c r="S25" s="19">
        <f t="shared" si="16"/>
        <v>0</v>
      </c>
      <c r="T25" s="23">
        <f t="shared" si="17"/>
        <v>0</v>
      </c>
      <c r="U25" s="49">
        <f t="shared" si="18"/>
        <v>0</v>
      </c>
      <c r="V25" s="54">
        <v>1.3333333333333333</v>
      </c>
      <c r="W25" s="13">
        <f t="shared" si="19"/>
        <v>4452176.4206532687</v>
      </c>
      <c r="X25" s="25">
        <f t="shared" si="19"/>
        <v>482.84780734249694</v>
      </c>
    </row>
    <row r="26" spans="1:24" x14ac:dyDescent="0.2">
      <c r="A26" s="10">
        <v>23</v>
      </c>
      <c r="B26" s="15">
        <f t="shared" si="20"/>
        <v>756.93537822756207</v>
      </c>
      <c r="C26" s="27">
        <f t="shared" si="21"/>
        <v>146.93323109911987</v>
      </c>
      <c r="D26" s="19">
        <f t="shared" si="2"/>
        <v>0</v>
      </c>
      <c r="E26" s="20">
        <f t="shared" si="1"/>
        <v>49.633237178691623</v>
      </c>
      <c r="F26" s="27">
        <f t="shared" si="3"/>
        <v>93.754671555721984</v>
      </c>
      <c r="G26" s="19">
        <f t="shared" si="4"/>
        <v>50671.699684288564</v>
      </c>
      <c r="H26" s="20">
        <f t="shared" si="5"/>
        <v>27.869434826358713</v>
      </c>
      <c r="I26" s="27">
        <f t="shared" si="6"/>
        <v>56.762827077856706</v>
      </c>
      <c r="J26" s="19">
        <f t="shared" si="7"/>
        <v>138054.02926987983</v>
      </c>
      <c r="K26" s="20">
        <f t="shared" si="8"/>
        <v>13.613661219668703</v>
      </c>
      <c r="L26" s="27">
        <f t="shared" si="9"/>
        <v>21.012630524281846</v>
      </c>
      <c r="M26" s="19">
        <f t="shared" si="10"/>
        <v>164672.46319157901</v>
      </c>
      <c r="N26" s="20">
        <f t="shared" si="11"/>
        <v>2.5552623598693298</v>
      </c>
      <c r="O26" s="27">
        <f t="shared" si="12"/>
        <v>428.76728533345795</v>
      </c>
      <c r="P26" s="19">
        <f t="shared" si="13"/>
        <v>1824923.9019905338</v>
      </c>
      <c r="Q26" s="20">
        <f t="shared" si="14"/>
        <v>137.59346880087358</v>
      </c>
      <c r="R26" s="27">
        <f t="shared" si="15"/>
        <v>252.76935440956177</v>
      </c>
      <c r="S26" s="19">
        <f t="shared" si="16"/>
        <v>0</v>
      </c>
      <c r="T26" s="23">
        <f t="shared" si="17"/>
        <v>0</v>
      </c>
      <c r="U26" s="49">
        <f t="shared" si="18"/>
        <v>0</v>
      </c>
      <c r="V26" s="54">
        <v>0.66666666666666663</v>
      </c>
      <c r="W26" s="13">
        <f t="shared" si="19"/>
        <v>2178322.0941362809</v>
      </c>
      <c r="X26" s="25">
        <f t="shared" si="19"/>
        <v>231.26506438546193</v>
      </c>
    </row>
    <row r="27" spans="1:24" x14ac:dyDescent="0.2">
      <c r="A27" s="10">
        <v>24</v>
      </c>
      <c r="B27" s="15">
        <f t="shared" si="20"/>
        <v>747.23064559043837</v>
      </c>
      <c r="C27" s="27">
        <f t="shared" si="21"/>
        <v>135.17857261119028</v>
      </c>
      <c r="D27" s="19">
        <f t="shared" si="2"/>
        <v>0</v>
      </c>
      <c r="E27" s="20">
        <f t="shared" si="1"/>
        <v>88.665200396886007</v>
      </c>
      <c r="F27" s="27">
        <f t="shared" si="3"/>
        <v>92.563703686741007</v>
      </c>
      <c r="G27" s="19">
        <f t="shared" si="4"/>
        <v>97141.778355289018</v>
      </c>
      <c r="H27" s="20">
        <f t="shared" si="5"/>
        <v>53.427978095408953</v>
      </c>
      <c r="I27" s="27">
        <f t="shared" si="6"/>
        <v>55.997805257151875</v>
      </c>
      <c r="J27" s="19">
        <f t="shared" si="7"/>
        <v>264453.21184284426</v>
      </c>
      <c r="K27" s="20">
        <f t="shared" si="8"/>
        <v>26.078025056724918</v>
      </c>
      <c r="L27" s="27">
        <f t="shared" si="9"/>
        <v>20.490071634810626</v>
      </c>
      <c r="M27" s="19">
        <f t="shared" si="10"/>
        <v>311800.49857932923</v>
      </c>
      <c r="N27" s="20">
        <f t="shared" si="11"/>
        <v>4.8382835986447637</v>
      </c>
      <c r="O27" s="27">
        <f t="shared" si="12"/>
        <v>433.54480866461768</v>
      </c>
      <c r="P27" s="19">
        <f t="shared" si="13"/>
        <v>3583025.3356293165</v>
      </c>
      <c r="Q27" s="20">
        <f t="shared" si="14"/>
        <v>270.14873562284527</v>
      </c>
      <c r="R27" s="27">
        <f t="shared" si="15"/>
        <v>262.22503814548861</v>
      </c>
      <c r="S27" s="19">
        <f t="shared" si="16"/>
        <v>0</v>
      </c>
      <c r="T27" s="23">
        <f t="shared" si="17"/>
        <v>0</v>
      </c>
      <c r="U27" s="49">
        <f t="shared" si="18"/>
        <v>0</v>
      </c>
      <c r="V27" s="54">
        <v>1.3333333333333333</v>
      </c>
      <c r="W27" s="13">
        <f t="shared" si="19"/>
        <v>4256420.8244067794</v>
      </c>
      <c r="X27" s="25">
        <f t="shared" si="19"/>
        <v>443.15822277050989</v>
      </c>
    </row>
    <row r="28" spans="1:24" x14ac:dyDescent="0.2">
      <c r="A28" s="10">
        <v>25</v>
      </c>
      <c r="B28" s="15">
        <f t="shared" si="20"/>
        <v>737.7749618545115</v>
      </c>
      <c r="C28" s="27">
        <f t="shared" si="21"/>
        <v>124.36428680229506</v>
      </c>
      <c r="D28" s="19">
        <f t="shared" si="2"/>
        <v>0</v>
      </c>
      <c r="E28" s="20">
        <f t="shared" si="1"/>
        <v>39.598050662686958</v>
      </c>
      <c r="F28" s="27">
        <f t="shared" si="3"/>
        <v>91.402466723029647</v>
      </c>
      <c r="G28" s="19">
        <f t="shared" si="4"/>
        <v>46564.615627917308</v>
      </c>
      <c r="H28" s="20">
        <f t="shared" si="5"/>
        <v>25.610538595354523</v>
      </c>
      <c r="I28" s="27">
        <f t="shared" si="6"/>
        <v>55.254024730221921</v>
      </c>
      <c r="J28" s="19">
        <f t="shared" si="7"/>
        <v>126670.2236893222</v>
      </c>
      <c r="K28" s="20">
        <f t="shared" si="8"/>
        <v>12.491091502697051</v>
      </c>
      <c r="L28" s="27">
        <f t="shared" si="9"/>
        <v>19.996492332089996</v>
      </c>
      <c r="M28" s="19">
        <f t="shared" si="10"/>
        <v>147713.41173419912</v>
      </c>
      <c r="N28" s="20">
        <f t="shared" si="11"/>
        <v>2.292104664841021</v>
      </c>
      <c r="O28" s="27">
        <f t="shared" si="12"/>
        <v>437.53715903121002</v>
      </c>
      <c r="P28" s="19">
        <f t="shared" si="13"/>
        <v>1755349.5448627351</v>
      </c>
      <c r="Q28" s="20">
        <f t="shared" si="14"/>
        <v>132.34778314441257</v>
      </c>
      <c r="R28" s="27">
        <f t="shared" si="15"/>
        <v>271.4455703811534</v>
      </c>
      <c r="S28" s="19">
        <f t="shared" si="16"/>
        <v>0</v>
      </c>
      <c r="T28" s="23">
        <f t="shared" si="17"/>
        <v>0</v>
      </c>
      <c r="U28" s="49">
        <f t="shared" si="18"/>
        <v>0</v>
      </c>
      <c r="V28" s="54">
        <v>0.66666666666666663</v>
      </c>
      <c r="W28" s="13">
        <f t="shared" si="19"/>
        <v>2076297.7959141736</v>
      </c>
      <c r="X28" s="25">
        <f t="shared" si="19"/>
        <v>212.33956856999214</v>
      </c>
    </row>
    <row r="29" spans="1:24" x14ac:dyDescent="0.2">
      <c r="A29" s="10">
        <v>26</v>
      </c>
      <c r="B29" s="15">
        <f t="shared" si="20"/>
        <v>728.5544296188466</v>
      </c>
      <c r="C29" s="27">
        <f t="shared" si="21"/>
        <v>114.41514385811145</v>
      </c>
      <c r="D29" s="19">
        <f t="shared" si="2"/>
        <v>0</v>
      </c>
      <c r="E29" s="20">
        <f t="shared" si="1"/>
        <v>70.738265261499009</v>
      </c>
      <c r="F29" s="27">
        <f t="shared" si="3"/>
        <v>90.269376898155627</v>
      </c>
      <c r="G29" s="19">
        <f t="shared" si="4"/>
        <v>89295.859449245661</v>
      </c>
      <c r="H29" s="20">
        <f t="shared" si="5"/>
        <v>49.112722697085118</v>
      </c>
      <c r="I29" s="27">
        <f t="shared" si="6"/>
        <v>54.530515043710722</v>
      </c>
      <c r="J29" s="19">
        <f t="shared" si="7"/>
        <v>242740.91817863722</v>
      </c>
      <c r="K29" s="20">
        <f t="shared" si="8"/>
        <v>23.936951653726723</v>
      </c>
      <c r="L29" s="27">
        <f t="shared" si="9"/>
        <v>19.529992743601237</v>
      </c>
      <c r="M29" s="19">
        <f t="shared" si="10"/>
        <v>280130.86421491648</v>
      </c>
      <c r="N29" s="20">
        <f t="shared" si="11"/>
        <v>4.3468582378176697</v>
      </c>
      <c r="O29" s="27">
        <f t="shared" si="12"/>
        <v>440.81097952582707</v>
      </c>
      <c r="P29" s="19">
        <f t="shared" si="13"/>
        <v>3433949.0136525594</v>
      </c>
      <c r="Q29" s="20">
        <f t="shared" si="14"/>
        <v>258.90885420396279</v>
      </c>
      <c r="R29" s="27">
        <f t="shared" si="15"/>
        <v>280.44399193059388</v>
      </c>
      <c r="S29" s="19">
        <f t="shared" si="16"/>
        <v>0</v>
      </c>
      <c r="T29" s="23">
        <f t="shared" si="17"/>
        <v>0</v>
      </c>
      <c r="U29" s="49">
        <f t="shared" si="18"/>
        <v>0</v>
      </c>
      <c r="V29" s="54">
        <v>1.3333333333333333</v>
      </c>
      <c r="W29" s="13">
        <f t="shared" si="19"/>
        <v>4046116.6554953586</v>
      </c>
      <c r="X29" s="25">
        <f t="shared" si="19"/>
        <v>407.0436520540913</v>
      </c>
    </row>
    <row r="30" spans="1:24" x14ac:dyDescent="0.2">
      <c r="A30" s="10">
        <v>27</v>
      </c>
      <c r="B30" s="15">
        <f t="shared" si="20"/>
        <v>719.55600806940606</v>
      </c>
      <c r="C30" s="27">
        <f t="shared" si="21"/>
        <v>105.26193234946254</v>
      </c>
      <c r="D30" s="19">
        <f t="shared" si="2"/>
        <v>0</v>
      </c>
      <c r="E30" s="20">
        <f t="shared" si="1"/>
        <v>31.591846621640347</v>
      </c>
      <c r="F30" s="27">
        <f t="shared" si="3"/>
        <v>89.162926905183639</v>
      </c>
      <c r="G30" s="19">
        <f t="shared" si="4"/>
        <v>42816.185464252085</v>
      </c>
      <c r="H30" s="20">
        <f t="shared" si="5"/>
        <v>23.54890200533865</v>
      </c>
      <c r="I30" s="27">
        <f t="shared" si="6"/>
        <v>53.826268820900822</v>
      </c>
      <c r="J30" s="19">
        <f t="shared" si="7"/>
        <v>116313.5862521442</v>
      </c>
      <c r="K30" s="20">
        <f t="shared" si="8"/>
        <v>11.469811977641998</v>
      </c>
      <c r="L30" s="27">
        <f t="shared" si="9"/>
        <v>19.088725066938338</v>
      </c>
      <c r="M30" s="19">
        <f t="shared" si="10"/>
        <v>132913.34309116536</v>
      </c>
      <c r="N30" s="20">
        <f t="shared" si="11"/>
        <v>2.0624484272767036</v>
      </c>
      <c r="O30" s="27">
        <f t="shared" si="12"/>
        <v>443.42765819230016</v>
      </c>
      <c r="P30" s="19">
        <f t="shared" si="13"/>
        <v>1676860.7414320901</v>
      </c>
      <c r="Q30" s="20">
        <f t="shared" si="14"/>
        <v>126.42997653654646</v>
      </c>
      <c r="R30" s="27">
        <f t="shared" si="15"/>
        <v>289.23248866521442</v>
      </c>
      <c r="S30" s="19">
        <f t="shared" si="16"/>
        <v>0</v>
      </c>
      <c r="T30" s="23">
        <f t="shared" si="17"/>
        <v>0</v>
      </c>
      <c r="U30" s="49">
        <f t="shared" si="18"/>
        <v>0</v>
      </c>
      <c r="V30" s="54">
        <v>0.66666666666666663</v>
      </c>
      <c r="W30" s="13">
        <f t="shared" si="19"/>
        <v>1968903.8562396518</v>
      </c>
      <c r="X30" s="25">
        <f t="shared" si="19"/>
        <v>195.10298556844418</v>
      </c>
    </row>
    <row r="31" spans="1:24" x14ac:dyDescent="0.2">
      <c r="A31" s="10">
        <v>28</v>
      </c>
      <c r="B31" s="15">
        <f t="shared" si="20"/>
        <v>710.76751133478547</v>
      </c>
      <c r="C31" s="27">
        <f t="shared" si="21"/>
        <v>96.840977761505542</v>
      </c>
      <c r="D31" s="19">
        <f t="shared" si="2"/>
        <v>0</v>
      </c>
      <c r="E31" s="20">
        <f t="shared" si="1"/>
        <v>56.435920178464308</v>
      </c>
      <c r="F31" s="27">
        <f t="shared" si="3"/>
        <v>88.081695456502544</v>
      </c>
      <c r="G31" s="19">
        <f t="shared" si="4"/>
        <v>82130.051122931967</v>
      </c>
      <c r="H31" s="20">
        <f t="shared" si="5"/>
        <v>45.171528117612588</v>
      </c>
      <c r="I31" s="27">
        <f t="shared" si="6"/>
        <v>53.14028204724103</v>
      </c>
      <c r="J31" s="19">
        <f t="shared" si="7"/>
        <v>222973.26662178015</v>
      </c>
      <c r="K31" s="20">
        <f t="shared" si="8"/>
        <v>21.987641569647764</v>
      </c>
      <c r="L31" s="27">
        <f t="shared" si="9"/>
        <v>18.670922180098916</v>
      </c>
      <c r="M31" s="19">
        <f t="shared" si="10"/>
        <v>252435.36566408983</v>
      </c>
      <c r="N31" s="20">
        <f t="shared" si="11"/>
        <v>3.9171005016841525</v>
      </c>
      <c r="O31" s="27">
        <f t="shared" si="12"/>
        <v>445.4437076093152</v>
      </c>
      <c r="P31" s="19">
        <f t="shared" si="13"/>
        <v>3270843.9026268753</v>
      </c>
      <c r="Q31" s="20">
        <f t="shared" si="14"/>
        <v>246.61124662662942</v>
      </c>
      <c r="R31" s="27">
        <f t="shared" si="15"/>
        <v>297.82241494533667</v>
      </c>
      <c r="S31" s="19">
        <f t="shared" si="16"/>
        <v>0</v>
      </c>
      <c r="T31" s="23">
        <f t="shared" si="17"/>
        <v>0</v>
      </c>
      <c r="U31" s="49">
        <f t="shared" si="18"/>
        <v>0</v>
      </c>
      <c r="V31" s="54">
        <v>1.3333333333333333</v>
      </c>
      <c r="W31" s="13">
        <f t="shared" si="19"/>
        <v>3828382.5860356772</v>
      </c>
      <c r="X31" s="25">
        <f t="shared" si="19"/>
        <v>374.12343699403823</v>
      </c>
    </row>
    <row r="32" spans="1:24" x14ac:dyDescent="0.2">
      <c r="A32" s="10">
        <v>29</v>
      </c>
      <c r="B32" s="15">
        <f t="shared" si="20"/>
        <v>702.17758505466327</v>
      </c>
      <c r="C32" s="27">
        <f t="shared" si="21"/>
        <v>89.093699540585106</v>
      </c>
      <c r="D32" s="19">
        <f t="shared" si="2"/>
        <v>0</v>
      </c>
      <c r="E32" s="20">
        <f t="shared" si="1"/>
        <v>25.20439153601319</v>
      </c>
      <c r="F32" s="27">
        <f t="shared" si="3"/>
        <v>87.024350417629734</v>
      </c>
      <c r="G32" s="19">
        <f t="shared" si="4"/>
        <v>39390.364300119589</v>
      </c>
      <c r="H32" s="20">
        <f t="shared" si="5"/>
        <v>21.664700365065773</v>
      </c>
      <c r="I32" s="27">
        <f t="shared" si="6"/>
        <v>52.471578590416229</v>
      </c>
      <c r="J32" s="19">
        <f t="shared" si="7"/>
        <v>106877.39279546072</v>
      </c>
      <c r="K32" s="20">
        <f t="shared" si="8"/>
        <v>10.539298456219042</v>
      </c>
      <c r="L32" s="27">
        <f t="shared" si="9"/>
        <v>18.274913174750669</v>
      </c>
      <c r="M32" s="19">
        <f t="shared" si="10"/>
        <v>119942.34393882318</v>
      </c>
      <c r="N32" s="20">
        <f t="shared" si="11"/>
        <v>1.8611743024989802</v>
      </c>
      <c r="O32" s="27">
        <f t="shared" si="12"/>
        <v>446.91112835023694</v>
      </c>
      <c r="P32" s="19">
        <f t="shared" si="13"/>
        <v>1593018.937334412</v>
      </c>
      <c r="Q32" s="20">
        <f t="shared" si="14"/>
        <v>120.10857067203898</v>
      </c>
      <c r="R32" s="27">
        <f t="shared" si="15"/>
        <v>306.22432992638119</v>
      </c>
      <c r="S32" s="19">
        <f t="shared" si="16"/>
        <v>0</v>
      </c>
      <c r="T32" s="23">
        <f t="shared" si="17"/>
        <v>0</v>
      </c>
      <c r="U32" s="49">
        <f t="shared" si="18"/>
        <v>0</v>
      </c>
      <c r="V32" s="54">
        <v>0.66666666666666663</v>
      </c>
      <c r="W32" s="13">
        <f t="shared" si="19"/>
        <v>1859229.0383688156</v>
      </c>
      <c r="X32" s="25">
        <f t="shared" si="19"/>
        <v>179.37813533183595</v>
      </c>
    </row>
    <row r="33" spans="1:24" ht="16" thickBot="1" x14ac:dyDescent="0.25">
      <c r="A33" s="11">
        <v>30</v>
      </c>
      <c r="B33" s="16">
        <f t="shared" si="20"/>
        <v>693.7756700736187</v>
      </c>
      <c r="C33" s="28">
        <f t="shared" si="21"/>
        <v>81.966203577338305</v>
      </c>
      <c r="D33" s="21">
        <f t="shared" si="2"/>
        <v>0</v>
      </c>
      <c r="E33" s="22">
        <f t="shared" si="1"/>
        <v>11.256330200549581</v>
      </c>
      <c r="F33" s="28">
        <f t="shared" si="3"/>
        <v>85.989648095521233</v>
      </c>
      <c r="G33" s="21">
        <f t="shared" si="4"/>
        <v>18894.184784419715</v>
      </c>
      <c r="H33" s="22">
        <f t="shared" si="5"/>
        <v>10.391801631430845</v>
      </c>
      <c r="I33" s="28">
        <f t="shared" si="6"/>
        <v>51.819224412566683</v>
      </c>
      <c r="J33" s="21">
        <f t="shared" si="7"/>
        <v>51237.202431266211</v>
      </c>
      <c r="K33" s="22">
        <f t="shared" si="8"/>
        <v>5.0525574619720839</v>
      </c>
      <c r="L33" s="28">
        <f t="shared" si="9"/>
        <v>17.899130371343617</v>
      </c>
      <c r="M33" s="21">
        <f t="shared" si="10"/>
        <v>57027.183166782837</v>
      </c>
      <c r="N33" s="22">
        <f t="shared" si="11"/>
        <v>0.88490456638111292</v>
      </c>
      <c r="O33" s="28">
        <f t="shared" si="12"/>
        <v>447.87775268821099</v>
      </c>
      <c r="P33" s="21">
        <f t="shared" si="13"/>
        <v>774982.75675498776</v>
      </c>
      <c r="Q33" s="22">
        <f t="shared" si="14"/>
        <v>58.431239596606211</v>
      </c>
      <c r="R33" s="28">
        <f t="shared" si="15"/>
        <v>314.44804085501897</v>
      </c>
      <c r="S33" s="21">
        <f t="shared" si="16"/>
        <v>0</v>
      </c>
      <c r="T33" s="24">
        <f t="shared" si="17"/>
        <v>0</v>
      </c>
      <c r="U33" s="49">
        <f t="shared" si="18"/>
        <v>0</v>
      </c>
      <c r="V33" s="54">
        <v>0.33333333333333331</v>
      </c>
      <c r="W33" s="13">
        <f t="shared" si="19"/>
        <v>902141.32713745651</v>
      </c>
      <c r="X33" s="25">
        <f t="shared" si="19"/>
        <v>86.016833456939835</v>
      </c>
    </row>
    <row r="34" spans="1:24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29" t="s">
        <v>80</v>
      </c>
      <c r="V34" s="53"/>
      <c r="W34" s="30">
        <f>SUM(W3:W33)</f>
        <v>86249960.569360718</v>
      </c>
      <c r="X34" s="31">
        <f>SUM(X3:X33)</f>
        <v>15714.010986326324</v>
      </c>
    </row>
    <row r="35" spans="1:24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8"/>
      <c r="V35" s="8"/>
      <c r="W35" s="7"/>
      <c r="X35" s="6"/>
    </row>
    <row r="36" spans="1:24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8"/>
      <c r="V36" s="8"/>
      <c r="W36" s="7"/>
      <c r="X36" s="6"/>
    </row>
    <row r="37" spans="1:24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8"/>
      <c r="V37" s="8"/>
      <c r="W37" s="7"/>
      <c r="X37" s="6"/>
    </row>
    <row r="38" spans="1:24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8"/>
      <c r="V38" s="8"/>
      <c r="W38" s="7"/>
      <c r="X38" s="6"/>
    </row>
    <row r="39" spans="1:24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8"/>
      <c r="V39" s="8"/>
      <c r="W39" s="7"/>
      <c r="X39" s="6"/>
    </row>
    <row r="40" spans="1:24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8"/>
      <c r="V40" s="8"/>
      <c r="W40" s="7"/>
      <c r="X40" s="6"/>
    </row>
    <row r="41" spans="1:24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8"/>
      <c r="V41" s="8"/>
      <c r="W41" s="7"/>
      <c r="X41" s="6"/>
    </row>
    <row r="42" spans="1:24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8"/>
      <c r="V42" s="8"/>
      <c r="W42" s="7"/>
      <c r="X42" s="6"/>
    </row>
    <row r="43" spans="1:24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8"/>
      <c r="V43" s="8"/>
      <c r="W43" s="7"/>
      <c r="X43" s="6"/>
    </row>
    <row r="44" spans="1:24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8"/>
      <c r="V44" s="8"/>
      <c r="W44" s="7"/>
      <c r="X44" s="6"/>
    </row>
    <row r="45" spans="1:24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8"/>
      <c r="V45" s="8"/>
      <c r="W45" s="7"/>
      <c r="X45" s="6"/>
    </row>
    <row r="46" spans="1:24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8"/>
      <c r="V46" s="8"/>
      <c r="W46" s="7"/>
      <c r="X46" s="6"/>
    </row>
    <row r="47" spans="1:24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8"/>
      <c r="V47" s="8"/>
      <c r="W47" s="7"/>
      <c r="X47" s="6"/>
    </row>
    <row r="48" spans="1:24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8"/>
      <c r="V48" s="8"/>
      <c r="W48" s="7"/>
      <c r="X48" s="6"/>
    </row>
    <row r="49" spans="2:24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8"/>
      <c r="V49" s="8"/>
      <c r="W49" s="7"/>
      <c r="X49" s="6"/>
    </row>
    <row r="50" spans="2:24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8"/>
      <c r="V50" s="8"/>
      <c r="W50" s="7"/>
      <c r="X50" s="6"/>
    </row>
    <row r="51" spans="2:24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8"/>
      <c r="V51" s="8"/>
      <c r="W51" s="7"/>
      <c r="X51" s="6"/>
    </row>
    <row r="52" spans="2:24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8"/>
      <c r="V52" s="8"/>
      <c r="W52" s="7"/>
      <c r="X52" s="6"/>
    </row>
    <row r="53" spans="2:24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8"/>
      <c r="V53" s="8"/>
      <c r="W53" s="7"/>
      <c r="X53" s="6"/>
    </row>
    <row r="54" spans="2:24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8"/>
      <c r="V54" s="8"/>
      <c r="W54" s="7"/>
      <c r="X54" s="6"/>
    </row>
    <row r="55" spans="2:24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8"/>
      <c r="V55" s="8"/>
      <c r="W55" s="7"/>
      <c r="X55" s="6"/>
    </row>
    <row r="56" spans="2:24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8"/>
      <c r="V56" s="8"/>
      <c r="W56" s="7"/>
      <c r="X56" s="6"/>
    </row>
    <row r="57" spans="2:24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8"/>
      <c r="V57" s="8"/>
      <c r="W57" s="7"/>
      <c r="X57" s="6"/>
    </row>
    <row r="58" spans="2:24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8"/>
      <c r="V58" s="8"/>
      <c r="W58" s="7"/>
      <c r="X58" s="6"/>
    </row>
    <row r="59" spans="2:24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8"/>
      <c r="V59" s="8"/>
      <c r="W59" s="7"/>
      <c r="X59" s="6"/>
    </row>
    <row r="60" spans="2:24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8"/>
      <c r="V60" s="8"/>
      <c r="W60" s="7"/>
      <c r="X60" s="6"/>
    </row>
    <row r="61" spans="2:24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8"/>
      <c r="V61" s="8"/>
      <c r="W61" s="7"/>
      <c r="X61" s="6"/>
    </row>
    <row r="62" spans="2:24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8"/>
      <c r="V62" s="8"/>
      <c r="W62" s="7"/>
      <c r="X62" s="6"/>
    </row>
    <row r="63" spans="2:24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8"/>
      <c r="V63" s="8"/>
      <c r="W63" s="7"/>
      <c r="X63" s="6"/>
    </row>
    <row r="64" spans="2:24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8"/>
      <c r="V64" s="8"/>
      <c r="W64" s="7"/>
      <c r="X64" s="6"/>
    </row>
    <row r="65" spans="2:24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8"/>
      <c r="V65" s="8"/>
      <c r="W65" s="7"/>
      <c r="X65" s="6"/>
    </row>
    <row r="66" spans="2:24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8"/>
      <c r="V66" s="8"/>
      <c r="W66" s="7"/>
      <c r="X66" s="6"/>
    </row>
    <row r="67" spans="2:24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8"/>
      <c r="V67" s="8"/>
      <c r="W67" s="7"/>
      <c r="X67" s="6"/>
    </row>
    <row r="68" spans="2:24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8"/>
      <c r="V68" s="8"/>
      <c r="W68" s="7"/>
      <c r="X68" s="6"/>
    </row>
    <row r="69" spans="2:24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8"/>
      <c r="V69" s="8"/>
      <c r="W69" s="7"/>
      <c r="X69" s="6"/>
    </row>
    <row r="70" spans="2:24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8"/>
      <c r="V70" s="8"/>
      <c r="W70" s="7"/>
      <c r="X70" s="6"/>
    </row>
    <row r="71" spans="2:24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8"/>
      <c r="V71" s="8"/>
      <c r="W71" s="7"/>
      <c r="X71" s="6"/>
    </row>
    <row r="72" spans="2:24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8"/>
      <c r="V72" s="8"/>
      <c r="W72" s="7"/>
      <c r="X72" s="6"/>
    </row>
    <row r="73" spans="2:24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8"/>
      <c r="V73" s="8"/>
      <c r="W73" s="7"/>
      <c r="X73" s="6"/>
    </row>
    <row r="74" spans="2:24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8"/>
      <c r="V74" s="8"/>
      <c r="W74" s="7"/>
      <c r="X74" s="6"/>
    </row>
    <row r="75" spans="2:24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8"/>
      <c r="V75" s="8"/>
      <c r="W75" s="7"/>
      <c r="X75" s="6"/>
    </row>
    <row r="76" spans="2:24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8"/>
      <c r="V76" s="8"/>
      <c r="W76" s="7"/>
      <c r="X76" s="6"/>
    </row>
    <row r="77" spans="2:24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8"/>
      <c r="V77" s="8"/>
      <c r="W77" s="7"/>
      <c r="X77" s="6"/>
    </row>
    <row r="78" spans="2:24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8"/>
      <c r="V78" s="8"/>
      <c r="W78" s="7"/>
      <c r="X78" s="6"/>
    </row>
    <row r="79" spans="2:24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8"/>
      <c r="V79" s="8"/>
      <c r="W79" s="7"/>
      <c r="X79" s="6"/>
    </row>
    <row r="80" spans="2:24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8"/>
      <c r="V80" s="8"/>
      <c r="W80" s="7"/>
      <c r="X80" s="6"/>
    </row>
    <row r="81" spans="2:24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8"/>
      <c r="V81" s="8"/>
      <c r="W81" s="7"/>
      <c r="X81" s="6"/>
    </row>
    <row r="82" spans="2:24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8"/>
      <c r="V82" s="8"/>
      <c r="W82" s="7"/>
      <c r="X82" s="6"/>
    </row>
    <row r="83" spans="2:24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8"/>
      <c r="V83" s="8"/>
      <c r="W83" s="7"/>
      <c r="X83" s="6"/>
    </row>
    <row r="84" spans="2:24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8"/>
      <c r="V84" s="8"/>
      <c r="W84" s="7"/>
      <c r="X84" s="6"/>
    </row>
    <row r="85" spans="2:24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8"/>
      <c r="V85" s="8"/>
      <c r="W85" s="7"/>
      <c r="X85" s="6"/>
    </row>
    <row r="86" spans="2:24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8"/>
      <c r="V86" s="8"/>
      <c r="W86" s="7"/>
      <c r="X86" s="6"/>
    </row>
    <row r="87" spans="2:24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8"/>
      <c r="V87" s="8"/>
      <c r="W87" s="7"/>
      <c r="X87" s="6"/>
    </row>
    <row r="88" spans="2:24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8"/>
      <c r="V88" s="8"/>
      <c r="W88" s="7"/>
      <c r="X88" s="6"/>
    </row>
    <row r="89" spans="2:24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8"/>
      <c r="V89" s="8"/>
      <c r="W89" s="7"/>
      <c r="X89" s="6"/>
    </row>
    <row r="90" spans="2:24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8"/>
      <c r="V90" s="8"/>
      <c r="W90" s="7"/>
      <c r="X90" s="6"/>
    </row>
    <row r="91" spans="2:24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8"/>
      <c r="V91" s="8"/>
      <c r="W91" s="7"/>
      <c r="X91" s="6"/>
    </row>
    <row r="92" spans="2:24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8"/>
      <c r="V92" s="8"/>
      <c r="W92" s="7"/>
      <c r="X92" s="6"/>
    </row>
    <row r="93" spans="2:24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8"/>
      <c r="V93" s="8"/>
      <c r="W93" s="7"/>
      <c r="X93" s="6"/>
    </row>
    <row r="94" spans="2:24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8"/>
      <c r="V94" s="8"/>
      <c r="W94" s="7"/>
      <c r="X94" s="6"/>
    </row>
    <row r="95" spans="2:24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8"/>
      <c r="V95" s="8"/>
      <c r="W95" s="7"/>
      <c r="X95" s="6"/>
    </row>
    <row r="96" spans="2:24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8"/>
      <c r="V96" s="8"/>
      <c r="W96" s="7"/>
      <c r="X96" s="6"/>
    </row>
    <row r="97" spans="2:24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8"/>
      <c r="V97" s="8"/>
      <c r="W97" s="7"/>
      <c r="X97" s="6"/>
    </row>
    <row r="98" spans="2:24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8"/>
      <c r="V98" s="8"/>
      <c r="W98" s="7"/>
      <c r="X98" s="6"/>
    </row>
    <row r="99" spans="2:24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8"/>
      <c r="V99" s="8"/>
      <c r="W99" s="7"/>
      <c r="X99" s="6"/>
    </row>
    <row r="100" spans="2:24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8"/>
      <c r="V100" s="8"/>
      <c r="W100" s="7"/>
      <c r="X100" s="6"/>
    </row>
    <row r="101" spans="2:24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8"/>
      <c r="V101" s="8"/>
      <c r="W101" s="7"/>
      <c r="X101" s="6"/>
    </row>
    <row r="102" spans="2:24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8"/>
      <c r="V102" s="8"/>
      <c r="W102" s="7"/>
      <c r="X102" s="6"/>
    </row>
    <row r="103" spans="2:24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8"/>
      <c r="V103" s="8"/>
      <c r="W103" s="7"/>
      <c r="X103" s="6"/>
    </row>
    <row r="104" spans="2:24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8"/>
      <c r="V104" s="8"/>
      <c r="W104" s="7"/>
      <c r="X104" s="6"/>
    </row>
    <row r="105" spans="2:24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8"/>
      <c r="V105" s="8"/>
      <c r="W105" s="7"/>
      <c r="X105" s="6"/>
    </row>
    <row r="106" spans="2:24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8"/>
      <c r="V106" s="8"/>
      <c r="W106" s="7"/>
      <c r="X106" s="6"/>
    </row>
    <row r="107" spans="2:24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8"/>
      <c r="V107" s="8"/>
      <c r="W107" s="7"/>
      <c r="X107" s="6"/>
    </row>
    <row r="108" spans="2:24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8"/>
      <c r="V108" s="8"/>
      <c r="W108" s="7"/>
      <c r="X108" s="6"/>
    </row>
    <row r="109" spans="2:24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8"/>
      <c r="V109" s="8"/>
      <c r="W109" s="7"/>
      <c r="X109" s="6"/>
    </row>
    <row r="110" spans="2:24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8"/>
      <c r="V110" s="8"/>
      <c r="W110" s="7"/>
      <c r="X110" s="6"/>
    </row>
    <row r="111" spans="2:24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8"/>
      <c r="V111" s="8"/>
      <c r="W111" s="7"/>
      <c r="X111" s="6"/>
    </row>
    <row r="112" spans="2:24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8"/>
      <c r="V112" s="8"/>
      <c r="W112" s="7"/>
      <c r="X112" s="6"/>
    </row>
    <row r="113" spans="2:24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8"/>
      <c r="V113" s="8"/>
      <c r="W113" s="7"/>
      <c r="X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rgb="FF00B050"/>
  </sheetPr>
  <dimension ref="A1:G17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4.1640625" bestFit="1" customWidth="1"/>
    <col min="2" max="2" width="15.33203125" bestFit="1" customWidth="1"/>
    <col min="3" max="3" width="11.6640625" bestFit="1" customWidth="1"/>
    <col min="4" max="4" width="16.33203125" bestFit="1" customWidth="1"/>
    <col min="5" max="5" width="18" customWidth="1"/>
    <col min="6" max="6" width="9.5" bestFit="1" customWidth="1"/>
    <col min="7" max="7" width="10.6640625" bestFit="1" customWidth="1"/>
  </cols>
  <sheetData>
    <row r="1" spans="1:7" s="61" customFormat="1" ht="17" thickBot="1" x14ac:dyDescent="0.25">
      <c r="A1" s="60" t="s">
        <v>145</v>
      </c>
    </row>
    <row r="2" spans="1:7" x14ac:dyDescent="0.2">
      <c r="A2" s="32" t="s">
        <v>16</v>
      </c>
      <c r="B2" s="33" t="s">
        <v>17</v>
      </c>
      <c r="C2" s="33" t="s">
        <v>21</v>
      </c>
      <c r="D2" s="33" t="s">
        <v>18</v>
      </c>
      <c r="E2" s="33" t="s">
        <v>22</v>
      </c>
      <c r="F2" s="37" t="s">
        <v>19</v>
      </c>
      <c r="G2" s="37" t="s">
        <v>147</v>
      </c>
    </row>
    <row r="3" spans="1:7" x14ac:dyDescent="0.2">
      <c r="A3" s="34" t="s">
        <v>23</v>
      </c>
      <c r="B3" s="46">
        <f>'Strategy 1 - phd'!X34</f>
        <v>24295828.570108801</v>
      </c>
      <c r="C3" s="38">
        <f>'Strategy 1 - phd'!Y34</f>
        <v>13501.687586201411</v>
      </c>
      <c r="D3" s="62" t="s">
        <v>20</v>
      </c>
      <c r="E3" s="62" t="s">
        <v>20</v>
      </c>
      <c r="F3" s="63" t="s">
        <v>20</v>
      </c>
      <c r="G3" s="63"/>
    </row>
    <row r="4" spans="1:7" x14ac:dyDescent="0.2">
      <c r="A4" s="56" t="s">
        <v>143</v>
      </c>
      <c r="B4" s="57">
        <f>'Strategy 3 - phd'!X34</f>
        <v>48509036.161780693</v>
      </c>
      <c r="C4" s="58">
        <f>'Strategy 3 - phd'!Y34</f>
        <v>13674.783940561394</v>
      </c>
      <c r="D4" s="57">
        <f>B4-B3</f>
        <v>24213207.591671892</v>
      </c>
      <c r="E4" s="58">
        <f>C4-C3</f>
        <v>173.0963543599828</v>
      </c>
      <c r="F4" s="59">
        <f>IFERROR(D4/E4, "n/a")</f>
        <v>139882.82815775819</v>
      </c>
      <c r="G4" s="59"/>
    </row>
    <row r="5" spans="1:7" x14ac:dyDescent="0.2">
      <c r="A5" s="56" t="s">
        <v>142</v>
      </c>
      <c r="B5" s="57">
        <f>'Strategy 2 - phd'!X34</f>
        <v>63635882.959287725</v>
      </c>
      <c r="C5" s="58">
        <f>'Strategy 2 - phd'!Y34</f>
        <v>13981.952339867854</v>
      </c>
      <c r="D5" s="57">
        <f>B5-B4</f>
        <v>15126846.797507033</v>
      </c>
      <c r="E5" s="58">
        <f>C5-C4</f>
        <v>307.16839930645983</v>
      </c>
      <c r="F5" s="59">
        <f>IFERROR(D5/E5, "n/a")</f>
        <v>49246.103543402198</v>
      </c>
      <c r="G5" s="59"/>
    </row>
    <row r="6" spans="1:7" ht="16" thickBot="1" x14ac:dyDescent="0.25">
      <c r="A6" s="35" t="s">
        <v>144</v>
      </c>
      <c r="B6" s="47">
        <f>'Strategy 4 - phd'!X34</f>
        <v>70558663.860620394</v>
      </c>
      <c r="C6" s="36">
        <f>'Strategy 4 - phd'!Y34</f>
        <v>13812.930492634059</v>
      </c>
      <c r="D6" s="47">
        <f>B6-B5</f>
        <v>6922780.901332669</v>
      </c>
      <c r="E6" s="36">
        <f xml:space="preserve"> C6-C5</f>
        <v>-169.02184723379469</v>
      </c>
      <c r="F6" s="64">
        <f>IFERROR(D6/E6, "n/a")</f>
        <v>-40957.90582478328</v>
      </c>
      <c r="G6" s="64" t="s">
        <v>148</v>
      </c>
    </row>
    <row r="8" spans="1:7" s="61" customFormat="1" ht="17" thickBot="1" x14ac:dyDescent="0.25">
      <c r="A8" s="60" t="s">
        <v>146</v>
      </c>
    </row>
    <row r="9" spans="1:7" x14ac:dyDescent="0.2">
      <c r="A9" s="32" t="s">
        <v>16</v>
      </c>
      <c r="B9" s="33" t="s">
        <v>17</v>
      </c>
      <c r="C9" s="33" t="s">
        <v>21</v>
      </c>
      <c r="D9" s="33" t="s">
        <v>18</v>
      </c>
      <c r="E9" s="33" t="s">
        <v>22</v>
      </c>
      <c r="F9" s="37" t="s">
        <v>19</v>
      </c>
      <c r="G9" s="37" t="s">
        <v>147</v>
      </c>
    </row>
    <row r="10" spans="1:7" x14ac:dyDescent="0.2">
      <c r="A10" s="34" t="s">
        <v>23</v>
      </c>
      <c r="B10" s="46">
        <f>'Strategy 1 - phd'!X34</f>
        <v>24295828.570108801</v>
      </c>
      <c r="C10" s="38">
        <f>'Strategy 1 - phd'!Y34</f>
        <v>13501.687586201411</v>
      </c>
      <c r="D10" s="62" t="s">
        <v>20</v>
      </c>
      <c r="E10" s="62" t="s">
        <v>20</v>
      </c>
      <c r="F10" s="63" t="s">
        <v>20</v>
      </c>
      <c r="G10" s="63"/>
    </row>
    <row r="11" spans="1:7" x14ac:dyDescent="0.2">
      <c r="A11" s="56" t="s">
        <v>143</v>
      </c>
      <c r="B11" s="57">
        <f>'Strategy 3 - phd'!X34</f>
        <v>48509036.161780693</v>
      </c>
      <c r="C11" s="58">
        <f>'Strategy 3 - phd'!Y34</f>
        <v>13674.783940561394</v>
      </c>
      <c r="D11" s="57">
        <f>B11-B10</f>
        <v>24213207.591671892</v>
      </c>
      <c r="E11" s="58">
        <f>C11-C10</f>
        <v>173.0963543599828</v>
      </c>
      <c r="F11" s="59">
        <f>D11/E11</f>
        <v>139882.82815775819</v>
      </c>
      <c r="G11" s="59" t="s">
        <v>150</v>
      </c>
    </row>
    <row r="12" spans="1:7" ht="16" thickBot="1" x14ac:dyDescent="0.25">
      <c r="A12" s="35" t="s">
        <v>142</v>
      </c>
      <c r="B12" s="47">
        <f>'Strategy 2 - phd'!X34</f>
        <v>63635882.959287725</v>
      </c>
      <c r="C12" s="36">
        <f>'Strategy 2 - phd'!Y34</f>
        <v>13981.952339867854</v>
      </c>
      <c r="D12" s="47">
        <f>B12-B11</f>
        <v>15126846.797507033</v>
      </c>
      <c r="E12" s="65">
        <f>C12-C11</f>
        <v>307.16839930645983</v>
      </c>
      <c r="F12" s="64">
        <f>D12/E12</f>
        <v>49246.103543402198</v>
      </c>
      <c r="G12" s="64"/>
    </row>
    <row r="14" spans="1:7" s="61" customFormat="1" ht="17" thickBot="1" x14ac:dyDescent="0.25">
      <c r="A14" s="60" t="s">
        <v>149</v>
      </c>
    </row>
    <row r="15" spans="1:7" x14ac:dyDescent="0.2">
      <c r="A15" s="32" t="s">
        <v>16</v>
      </c>
      <c r="B15" s="33" t="s">
        <v>17</v>
      </c>
      <c r="C15" s="33" t="s">
        <v>21</v>
      </c>
      <c r="D15" s="33" t="s">
        <v>18</v>
      </c>
      <c r="E15" s="33" t="s">
        <v>22</v>
      </c>
      <c r="F15" s="37" t="s">
        <v>19</v>
      </c>
      <c r="G15" s="37" t="s">
        <v>147</v>
      </c>
    </row>
    <row r="16" spans="1:7" x14ac:dyDescent="0.2">
      <c r="A16" s="34" t="s">
        <v>23</v>
      </c>
      <c r="B16" s="46">
        <f>'Strategy 1 - phd'!X34</f>
        <v>24295828.570108801</v>
      </c>
      <c r="C16" s="38">
        <f>'Strategy 1 - phd'!Y34</f>
        <v>13501.687586201411</v>
      </c>
      <c r="D16" s="62" t="s">
        <v>20</v>
      </c>
      <c r="E16" s="62" t="s">
        <v>20</v>
      </c>
      <c r="F16" s="63" t="s">
        <v>20</v>
      </c>
      <c r="G16" s="63"/>
    </row>
    <row r="17" spans="1:7" ht="16" thickBot="1" x14ac:dyDescent="0.25">
      <c r="A17" s="35" t="s">
        <v>142</v>
      </c>
      <c r="B17" s="47">
        <f>'Strategy 2 - phd'!X34</f>
        <v>63635882.959287725</v>
      </c>
      <c r="C17" s="36">
        <f>'Strategy 2 - phd'!Y34</f>
        <v>13981.952339867854</v>
      </c>
      <c r="D17" s="47">
        <f>B17-B16</f>
        <v>39340054.389178924</v>
      </c>
      <c r="E17" s="65">
        <f>C17-C16</f>
        <v>480.26475366644263</v>
      </c>
      <c r="F17" s="64">
        <f>D17/E17</f>
        <v>81913.265732803906</v>
      </c>
      <c r="G17" s="64"/>
    </row>
  </sheetData>
  <sortState xmlns:xlrd2="http://schemas.microsoft.com/office/spreadsheetml/2017/richdata2" ref="A3:G6">
    <sortCondition ref="B3:B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1DFB0-F258-E345-AE6E-2999F883A0BF}">
  <sheetPr>
    <tabColor rgb="FF00B050"/>
  </sheetPr>
  <dimension ref="A1:O9"/>
  <sheetViews>
    <sheetView zoomScale="125" zoomScaleNormal="228" workbookViewId="0">
      <selection activeCell="C5" sqref="C5"/>
    </sheetView>
  </sheetViews>
  <sheetFormatPr baseColWidth="10" defaultRowHeight="16" x14ac:dyDescent="0.2"/>
  <cols>
    <col min="1" max="2" width="10.83203125" style="74"/>
    <col min="3" max="3" width="16.83203125" style="74" bestFit="1" customWidth="1"/>
    <col min="4" max="4" width="12.1640625" style="74" bestFit="1" customWidth="1"/>
    <col min="5" max="5" width="15.83203125" style="74" customWidth="1"/>
    <col min="6" max="7" width="10.83203125" style="74" customWidth="1"/>
    <col min="8" max="12" width="10.83203125" style="74"/>
    <col min="13" max="14" width="15" style="74" bestFit="1" customWidth="1"/>
    <col min="15" max="15" width="13" style="74" bestFit="1" customWidth="1"/>
    <col min="16" max="16384" width="10.83203125" style="74"/>
  </cols>
  <sheetData>
    <row r="1" spans="1:15" x14ac:dyDescent="0.2">
      <c r="A1" s="73"/>
      <c r="B1"/>
      <c r="C1"/>
      <c r="D1"/>
      <c r="E1"/>
    </row>
    <row r="2" spans="1:15" x14ac:dyDescent="0.2">
      <c r="A2"/>
      <c r="B2" s="61"/>
      <c r="C2" s="61"/>
      <c r="D2" s="61" t="s">
        <v>151</v>
      </c>
      <c r="E2" s="61" t="s">
        <v>152</v>
      </c>
      <c r="F2" s="78"/>
      <c r="G2" s="74" t="s">
        <v>158</v>
      </c>
      <c r="L2" s="74" t="s">
        <v>157</v>
      </c>
    </row>
    <row r="3" spans="1:15" ht="17" thickBot="1" x14ac:dyDescent="0.25">
      <c r="A3"/>
      <c r="B3" s="61" t="s">
        <v>45</v>
      </c>
      <c r="C3" s="66"/>
      <c r="D3" s="72">
        <f>Parameters!D16</f>
        <v>0.35</v>
      </c>
      <c r="E3" s="72">
        <f>Parameters!E16</f>
        <v>0.5</v>
      </c>
      <c r="H3" s="74" t="s">
        <v>151</v>
      </c>
      <c r="I3" s="74" t="s">
        <v>152</v>
      </c>
      <c r="J3" s="74" t="s">
        <v>156</v>
      </c>
      <c r="M3" s="74" t="s">
        <v>151</v>
      </c>
      <c r="N3" s="74" t="s">
        <v>152</v>
      </c>
      <c r="O3" s="74" t="s">
        <v>156</v>
      </c>
    </row>
    <row r="4" spans="1:15" x14ac:dyDescent="0.2">
      <c r="A4"/>
      <c r="B4" s="61" t="s">
        <v>19</v>
      </c>
      <c r="C4" s="67">
        <f>('Strategy 2 - phd'!X34-'Strategy 1 - phd'!X34)/('Strategy 2 - phd'!Y34-'Strategy 1 - Status quo'!Y34)</f>
        <v>2813.6309889288846</v>
      </c>
      <c r="D4" s="68">
        <v>75242.790515618355</v>
      </c>
      <c r="E4" s="69">
        <v>74864.766072869606</v>
      </c>
      <c r="G4" s="74" t="str">
        <f>B3</f>
        <v>pStage3Death</v>
      </c>
      <c r="H4" s="79">
        <f>D4</f>
        <v>75242.790515618355</v>
      </c>
      <c r="I4" s="79">
        <f>-E4</f>
        <v>-74864.766072869606</v>
      </c>
      <c r="J4" s="79">
        <f>ABS(-I4-H4)</f>
        <v>378.0244427487487</v>
      </c>
      <c r="L4" s="74" t="str">
        <f>B3</f>
        <v>pStage3Death</v>
      </c>
      <c r="M4" s="79">
        <f>D5</f>
        <v>6259327.7429329008</v>
      </c>
      <c r="N4" s="79">
        <f>-E5</f>
        <v>-7293816.2788028866</v>
      </c>
      <c r="O4" s="79">
        <f>ABS(-N4-M4)</f>
        <v>1034488.5358699858</v>
      </c>
    </row>
    <row r="5" spans="1:15" ht="17" thickBot="1" x14ac:dyDescent="0.25">
      <c r="A5"/>
      <c r="B5" s="61" t="s">
        <v>153</v>
      </c>
      <c r="C5" s="67">
        <f>'Strategy 2 - Treatment A'!X34*wtp-'Strategy 2 - Treatment A'!W34</f>
        <v>5058725.9239503294</v>
      </c>
      <c r="D5" s="70">
        <v>6259327.7429329008</v>
      </c>
      <c r="E5" s="71">
        <v>7293816.2788028866</v>
      </c>
      <c r="G5" s="74" t="str">
        <f>B7</f>
        <v>cTrtA</v>
      </c>
      <c r="H5" s="79">
        <f>D8</f>
        <v>57410.500160241951</v>
      </c>
      <c r="I5" s="79">
        <f>-E8</f>
        <v>-79614.840828655011</v>
      </c>
      <c r="J5" s="79">
        <f>ABS(-I5-H5)</f>
        <v>22204.34066841306</v>
      </c>
      <c r="L5" s="74" t="str">
        <f>B7</f>
        <v>cTrtA</v>
      </c>
      <c r="M5" s="79">
        <f>D9</f>
        <v>18085488.708717667</v>
      </c>
      <c r="N5" s="79">
        <f>-E9</f>
        <v>-3538524.9212962985</v>
      </c>
      <c r="O5" s="79">
        <f>ABS(-N5-M5)</f>
        <v>14546963.787421368</v>
      </c>
    </row>
    <row r="6" spans="1:15" x14ac:dyDescent="0.2">
      <c r="B6" s="1"/>
      <c r="C6" s="1"/>
      <c r="D6" s="1"/>
      <c r="E6" s="1"/>
    </row>
    <row r="7" spans="1:15" x14ac:dyDescent="0.2">
      <c r="B7" s="74" t="s">
        <v>101</v>
      </c>
      <c r="C7" s="77"/>
      <c r="D7" s="164">
        <f>Parameters!D52</f>
        <v>8000</v>
      </c>
      <c r="E7" s="164">
        <f>Parameters!E52</f>
        <v>10500</v>
      </c>
    </row>
    <row r="8" spans="1:15" x14ac:dyDescent="0.2">
      <c r="B8" s="74" t="s">
        <v>19</v>
      </c>
      <c r="C8" s="67">
        <f>('Strategy 2 - Treatment A'!W34-'Strategy 1 - Status quo'!W34)/('Strategy 2 - Treatment A'!X34-'Strategy 1 - Status quo'!X34)</f>
        <v>75173.972694971962</v>
      </c>
      <c r="D8" s="162">
        <v>57410.500160241951</v>
      </c>
      <c r="E8" s="163">
        <v>79614.840828655011</v>
      </c>
    </row>
    <row r="9" spans="1:15" ht="17" thickBot="1" x14ac:dyDescent="0.25">
      <c r="B9" s="74" t="s">
        <v>153</v>
      </c>
      <c r="C9" s="67">
        <f>'Strategy 2 - Treatment A'!X34*wtp-'Strategy 2 - Treatment A'!W34</f>
        <v>5058725.9239503294</v>
      </c>
      <c r="D9" s="76">
        <v>18085488.708717667</v>
      </c>
      <c r="E9" s="75">
        <v>3538524.9212962985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18B7-873E-7E42-994B-8627E8575AE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75E0-E3C9-FA45-B5DA-8E8733AF06A0}">
  <dimension ref="B1:BH63"/>
  <sheetViews>
    <sheetView topLeftCell="E1" workbookViewId="0">
      <selection activeCell="W69" sqref="W69"/>
    </sheetView>
  </sheetViews>
  <sheetFormatPr baseColWidth="10" defaultRowHeight="15" x14ac:dyDescent="0.2"/>
  <sheetData>
    <row r="1" spans="2:60" ht="16" thickBot="1" x14ac:dyDescent="0.25"/>
    <row r="2" spans="2:60" ht="17" thickBot="1" x14ac:dyDescent="0.25">
      <c r="B2" s="61"/>
      <c r="C2" s="233" t="s">
        <v>159</v>
      </c>
      <c r="D2" s="234"/>
      <c r="E2" s="234"/>
      <c r="F2" s="234"/>
      <c r="G2" s="234"/>
      <c r="H2" s="234"/>
      <c r="I2" s="235"/>
      <c r="J2" s="83"/>
      <c r="K2" s="84" t="s">
        <v>160</v>
      </c>
      <c r="L2" s="85"/>
      <c r="M2" s="85"/>
      <c r="N2" s="85"/>
      <c r="O2" s="85"/>
      <c r="P2" s="85"/>
      <c r="Q2" s="86"/>
      <c r="R2" s="83"/>
      <c r="S2" s="84" t="s">
        <v>161</v>
      </c>
      <c r="T2" s="85"/>
      <c r="U2" s="85"/>
      <c r="V2" s="85"/>
      <c r="W2" s="85"/>
      <c r="X2" s="85"/>
      <c r="Y2" s="86"/>
      <c r="Z2" s="83"/>
      <c r="AA2" s="61"/>
      <c r="AB2" s="61"/>
      <c r="AC2" s="61"/>
      <c r="AD2" s="61"/>
      <c r="AE2" s="61"/>
      <c r="AF2" s="61"/>
      <c r="AG2" s="61"/>
      <c r="AH2" s="233" t="s">
        <v>162</v>
      </c>
      <c r="AI2" s="234"/>
      <c r="AJ2" s="234"/>
      <c r="AK2" s="234"/>
      <c r="AL2" s="234"/>
      <c r="AM2" s="234"/>
      <c r="AN2" s="234"/>
      <c r="AO2" s="234"/>
      <c r="AP2" s="234"/>
      <c r="AQ2" s="234"/>
      <c r="AR2" s="234"/>
      <c r="AS2" s="234"/>
      <c r="AT2" s="234"/>
      <c r="AU2" s="234"/>
      <c r="AV2" s="234"/>
      <c r="AW2" s="234"/>
      <c r="AX2" s="234"/>
      <c r="AY2" s="234"/>
      <c r="AZ2" s="234"/>
      <c r="BA2" s="234"/>
      <c r="BB2" s="234"/>
      <c r="BC2" s="234"/>
      <c r="BD2" s="234"/>
      <c r="BE2" s="234"/>
      <c r="BF2" s="234"/>
      <c r="BG2" s="234"/>
      <c r="BH2" s="235"/>
    </row>
    <row r="3" spans="2:60" ht="16" x14ac:dyDescent="0.2">
      <c r="B3" s="61"/>
      <c r="C3" s="236" t="s">
        <v>163</v>
      </c>
      <c r="D3" s="237"/>
      <c r="E3" s="237"/>
      <c r="F3" s="237"/>
      <c r="G3" s="237"/>
      <c r="H3" s="237"/>
      <c r="I3" s="238"/>
      <c r="J3" s="83"/>
      <c r="K3" s="87"/>
      <c r="L3" s="231" t="s">
        <v>164</v>
      </c>
      <c r="M3" s="231"/>
      <c r="N3" s="231"/>
      <c r="O3" s="231"/>
      <c r="P3" s="231"/>
      <c r="Q3" s="232"/>
      <c r="R3" s="83"/>
      <c r="S3" s="87"/>
      <c r="T3" s="231" t="s">
        <v>164</v>
      </c>
      <c r="U3" s="231"/>
      <c r="V3" s="231"/>
      <c r="W3" s="231"/>
      <c r="X3" s="231"/>
      <c r="Y3" s="232"/>
      <c r="Z3" s="83"/>
      <c r="AA3" s="88" t="s">
        <v>165</v>
      </c>
      <c r="AB3" s="89"/>
      <c r="AC3" s="89"/>
      <c r="AD3" s="89"/>
      <c r="AE3" s="89"/>
      <c r="AF3" s="89"/>
      <c r="AG3" s="61"/>
      <c r="AH3" s="90" t="s">
        <v>166</v>
      </c>
      <c r="AI3" s="88"/>
      <c r="AJ3" s="88"/>
      <c r="AK3" s="88"/>
      <c r="AL3" s="89"/>
      <c r="AM3" s="89"/>
      <c r="AN3" s="61"/>
      <c r="AO3" s="88" t="s">
        <v>167</v>
      </c>
      <c r="AP3" s="88"/>
      <c r="AQ3" s="88"/>
      <c r="AR3" s="88"/>
      <c r="AS3" s="89"/>
      <c r="AT3" s="89"/>
      <c r="AU3" s="61"/>
      <c r="AV3" s="88" t="s">
        <v>168</v>
      </c>
      <c r="AW3" s="88"/>
      <c r="AX3" s="88"/>
      <c r="AY3" s="88"/>
      <c r="AZ3" s="89"/>
      <c r="BA3" s="89"/>
      <c r="BB3" s="61"/>
      <c r="BC3" s="88" t="s">
        <v>169</v>
      </c>
      <c r="BD3" s="88"/>
      <c r="BE3" s="88"/>
      <c r="BF3" s="88"/>
      <c r="BG3" s="89"/>
      <c r="BH3" s="91"/>
    </row>
    <row r="4" spans="2:60" ht="17" x14ac:dyDescent="0.2">
      <c r="B4" s="92" t="s">
        <v>170</v>
      </c>
      <c r="C4" s="93" t="s">
        <v>171</v>
      </c>
      <c r="D4" s="94" t="s">
        <v>7</v>
      </c>
      <c r="E4" s="123" t="s">
        <v>8</v>
      </c>
      <c r="F4" s="123" t="s">
        <v>9</v>
      </c>
      <c r="G4" s="123" t="s">
        <v>10</v>
      </c>
      <c r="H4" s="123" t="s">
        <v>11</v>
      </c>
      <c r="I4" s="95" t="s">
        <v>12</v>
      </c>
      <c r="J4" s="96"/>
      <c r="K4" s="97"/>
      <c r="L4" s="94" t="s">
        <v>7</v>
      </c>
      <c r="M4" s="123" t="s">
        <v>8</v>
      </c>
      <c r="N4" s="123" t="s">
        <v>9</v>
      </c>
      <c r="O4" s="123" t="s">
        <v>10</v>
      </c>
      <c r="P4" s="123" t="s">
        <v>11</v>
      </c>
      <c r="Q4" s="95" t="s">
        <v>12</v>
      </c>
      <c r="R4" s="96"/>
      <c r="S4" s="97"/>
      <c r="T4" s="94" t="s">
        <v>7</v>
      </c>
      <c r="U4" s="123" t="s">
        <v>8</v>
      </c>
      <c r="V4" s="123" t="s">
        <v>9</v>
      </c>
      <c r="W4" s="123" t="s">
        <v>10</v>
      </c>
      <c r="X4" s="123" t="s">
        <v>11</v>
      </c>
      <c r="Y4" s="95" t="s">
        <v>12</v>
      </c>
      <c r="Z4" s="96"/>
      <c r="AA4" s="98"/>
      <c r="AB4" s="61"/>
      <c r="AC4" s="61"/>
      <c r="AD4" s="61"/>
      <c r="AE4" s="61"/>
      <c r="AF4" s="61"/>
      <c r="AG4" s="61"/>
      <c r="AH4" s="99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100"/>
    </row>
    <row r="5" spans="2:60" ht="16" customHeight="1" x14ac:dyDescent="0.2">
      <c r="B5" s="101" t="s">
        <v>23</v>
      </c>
      <c r="C5" s="102" t="s">
        <v>7</v>
      </c>
      <c r="D5" s="103">
        <f>-(rHealthyStage1+rHealthyStage2+rHealthyStage3)</f>
        <v>-8.3381608939051138E-2</v>
      </c>
      <c r="E5" s="103">
        <f>rHealthyStage1</f>
        <v>5.2113505586906958E-2</v>
      </c>
      <c r="F5" s="103">
        <f>rHealthyStage2</f>
        <v>2.0845402234762785E-2</v>
      </c>
      <c r="G5" s="103">
        <f>rHealthyStage3</f>
        <v>1.0422701117381392E-2</v>
      </c>
      <c r="H5" s="104">
        <v>0</v>
      </c>
      <c r="I5" s="105">
        <v>0</v>
      </c>
      <c r="J5" s="106"/>
      <c r="K5" s="107" t="s">
        <v>182</v>
      </c>
      <c r="L5" s="108">
        <f>1-M5-N5-O5</f>
        <v>0.91999999999999993</v>
      </c>
      <c r="M5" s="108">
        <f>(rHealthyStage1/(rHealthyStage1+rHealthyStage2+rHealthyStage3))*(1-EXP(-(rHealthyStage1+rHealthyStage2+rHealthyStage3)))</f>
        <v>5.0000000000000044E-2</v>
      </c>
      <c r="N5" s="108">
        <f>(rHealthyStage2/(rHealthyStage1+rHealthyStage2+rHealthyStage3))*(1-EXP(-(rHealthyStage1+rHealthyStage2+rHealthyStage3)))</f>
        <v>2.0000000000000018E-2</v>
      </c>
      <c r="O5" s="108">
        <f>(rHealthyStage3/(rHealthyStage1+rHealthyStage2+rHealthyStage3))*(1-EXP(-(rHealthyStage1+rHealthyStage2+rHealthyStage3)))</f>
        <v>1.0000000000000009E-2</v>
      </c>
      <c r="P5" s="108">
        <v>0</v>
      </c>
      <c r="Q5" s="109">
        <v>0</v>
      </c>
      <c r="R5" s="106"/>
      <c r="S5" s="107" t="s">
        <v>183</v>
      </c>
      <c r="T5" s="110">
        <f>AA5+AH5+(1/FACT(2))*AO5 + (1/FACT(3))*AV5+(1/FACT(4))*BC5</f>
        <v>0.92000003312566181</v>
      </c>
      <c r="U5" s="110">
        <f t="shared" ref="U5:Y5" si="0">AB5+AI5+(1/FACT(2))*AP5 + (1/FACT(3))*AW5+(1/FACT(4))*BD5</f>
        <v>4.1304256399035844E-2</v>
      </c>
      <c r="V5" s="110">
        <f t="shared" si="0"/>
        <v>1.8347402401760853E-2</v>
      </c>
      <c r="W5" s="110">
        <f t="shared" si="0"/>
        <v>8.639796755089935E-3</v>
      </c>
      <c r="X5" s="110">
        <f t="shared" si="0"/>
        <v>8.8342077466245211E-3</v>
      </c>
      <c r="Y5" s="111">
        <f t="shared" si="0"/>
        <v>2.8743035718271285E-3</v>
      </c>
      <c r="Z5" s="106"/>
      <c r="AA5" s="112">
        <v>1</v>
      </c>
      <c r="AB5" s="112">
        <v>0</v>
      </c>
      <c r="AC5" s="112">
        <v>0</v>
      </c>
      <c r="AD5" s="112">
        <v>0</v>
      </c>
      <c r="AE5" s="112">
        <v>0</v>
      </c>
      <c r="AF5" s="112">
        <v>0</v>
      </c>
      <c r="AG5" s="61"/>
      <c r="AH5" s="126">
        <f>D5</f>
        <v>-8.3381608939051138E-2</v>
      </c>
      <c r="AI5" s="113">
        <f t="shared" ref="AI5:AM5" si="1">E5</f>
        <v>5.2113505586906958E-2</v>
      </c>
      <c r="AJ5" s="124">
        <f t="shared" si="1"/>
        <v>2.0845402234762785E-2</v>
      </c>
      <c r="AK5" s="124">
        <f t="shared" si="1"/>
        <v>1.0422701117381392E-2</v>
      </c>
      <c r="AL5" s="113">
        <f t="shared" si="1"/>
        <v>0</v>
      </c>
      <c r="AM5" s="113">
        <f t="shared" si="1"/>
        <v>0</v>
      </c>
      <c r="AN5" s="125"/>
      <c r="AO5" s="113" cm="1">
        <f t="array" ref="AO5:AT10">MMULT(AH5:AM10,AH5:AM10)</f>
        <v>6.9524927092648528E-3</v>
      </c>
      <c r="AP5" s="113">
        <v>-2.5463870147915513E-2</v>
      </c>
      <c r="AQ5" s="113">
        <v>-5.2498685002006461E-3</v>
      </c>
      <c r="AR5" s="113">
        <v>-4.1003903822803816E-3</v>
      </c>
      <c r="AS5" s="113">
        <v>2.1359617017132973E-2</v>
      </c>
      <c r="AT5" s="113">
        <v>6.5020193039987129E-3</v>
      </c>
      <c r="AU5" s="125"/>
      <c r="AV5" s="113" cm="1">
        <f t="array" ref="AV5:BA10">MMULT(_xlfn.ANCHORARRAY(AO5),D5:I10)</f>
        <v>-5.797100282355261E-4</v>
      </c>
      <c r="AW5" s="113">
        <v>1.3310726147457395E-2</v>
      </c>
      <c r="AX5" s="113">
        <v>5.654771322787176E-4</v>
      </c>
      <c r="AY5" s="113">
        <v>1.9089750294630455E-3</v>
      </c>
      <c r="AZ5" s="113">
        <v>-1.2647511651558144E-2</v>
      </c>
      <c r="BA5" s="113">
        <v>-2.5579566294054866E-3</v>
      </c>
      <c r="BB5" s="125"/>
      <c r="BC5" s="113" cm="1">
        <f t="array" ref="BC5:BH10">MMULT(_xlfn.ANCHORARRAY(AV5),D5:I10)</f>
        <v>4.8337154872380933E-5</v>
      </c>
      <c r="BD5" s="113">
        <v>-7.0984433237502153E-3</v>
      </c>
      <c r="BE5" s="113">
        <v>7.8451748124651376E-4</v>
      </c>
      <c r="BF5" s="113">
        <v>-1.2209202254825663E-3</v>
      </c>
      <c r="BG5" s="113">
        <v>6.2956283196254018E-3</v>
      </c>
      <c r="BH5" s="114">
        <v>1.1908805934884837E-3</v>
      </c>
    </row>
    <row r="6" spans="2:60" x14ac:dyDescent="0.2">
      <c r="B6" s="101" t="s">
        <v>23</v>
      </c>
      <c r="C6" s="102" t="s">
        <v>8</v>
      </c>
      <c r="D6" s="104">
        <v>0</v>
      </c>
      <c r="E6" s="103">
        <f>-(rStage1Remission+rStage1Stage2)</f>
        <v>-0.43078291609245428</v>
      </c>
      <c r="F6" s="103">
        <f>rStage1Stage2</f>
        <v>0.12308083316927264</v>
      </c>
      <c r="G6" s="104">
        <v>0</v>
      </c>
      <c r="H6" s="103">
        <f>rStage1Remission</f>
        <v>0.30770208292318163</v>
      </c>
      <c r="I6" s="105">
        <v>0</v>
      </c>
      <c r="J6" s="106"/>
      <c r="K6" s="107"/>
      <c r="L6" s="108">
        <v>0</v>
      </c>
      <c r="M6" s="108">
        <f>1-N6-P6</f>
        <v>0.65</v>
      </c>
      <c r="N6" s="108">
        <f>rStage1Stage2/(rStage1Remission+rStage1Stage2)*(1-EXP(-(rStage1Remission+rStage1Stage2)))</f>
        <v>9.9999999999999992E-2</v>
      </c>
      <c r="O6" s="108">
        <v>0</v>
      </c>
      <c r="P6" s="108">
        <f>rStage1Remission/(rStage1Remission+rStage1Stage2)*(1-EXP(-(rStage1Remission+rStage1Stage2)))</f>
        <v>0.25</v>
      </c>
      <c r="Q6" s="109">
        <f>(1-EXP(-I6))</f>
        <v>0</v>
      </c>
      <c r="R6" s="106"/>
      <c r="S6" s="107"/>
      <c r="T6" s="110">
        <f t="shared" ref="T6:T10" si="2">AA6+AH6+(1/FACT(2))*AO6 + (1/FACT(3))*AV6+(1/FACT(4))*BC6</f>
        <v>0</v>
      </c>
      <c r="U6" s="110">
        <f t="shared" ref="U6:U10" si="3">AB6+AI6+(1/FACT(2))*AP6 + (1/FACT(3))*AW6+(1/FACT(4))*BD6</f>
        <v>0.66520051192271612</v>
      </c>
      <c r="V6" s="110">
        <f t="shared" ref="V6:V10" si="4">AC6+AJ6+(1/FACT(2))*AQ6 + (1/FACT(3))*AX6+(1/FACT(4))*BE6</f>
        <v>8.337870947983668E-2</v>
      </c>
      <c r="W6" s="110">
        <f t="shared" ref="W6:W10" si="5">AD6+AK6+(1/FACT(2))*AR6 + (1/FACT(3))*AY6+(1/FACT(4))*BF6</f>
        <v>7.4929765711120094E-3</v>
      </c>
      <c r="X6" s="110">
        <f t="shared" ref="X6:X10" si="6">AE6+AL6+(1/FACT(2))*AS6 + (1/FACT(3))*AZ6+(1/FACT(4))*BG6</f>
        <v>0.24239527321074386</v>
      </c>
      <c r="Y6" s="111">
        <f t="shared" ref="Y6:Y10" si="7">AF6+AM6+(1/FACT(2))*AT6 + (1/FACT(3))*BA6+(1/FACT(4))*BH6</f>
        <v>1.5325288155911814E-3</v>
      </c>
      <c r="Z6" s="106"/>
      <c r="AA6" s="112">
        <v>0</v>
      </c>
      <c r="AB6" s="112">
        <v>1</v>
      </c>
      <c r="AC6" s="112">
        <v>0</v>
      </c>
      <c r="AD6" s="112">
        <v>0</v>
      </c>
      <c r="AE6" s="112">
        <v>0</v>
      </c>
      <c r="AF6" s="112">
        <v>0</v>
      </c>
      <c r="AG6" s="61"/>
      <c r="AH6" s="126">
        <f t="shared" ref="AH6:AH10" si="8">D6</f>
        <v>0</v>
      </c>
      <c r="AI6" s="113">
        <f t="shared" ref="AI6:AI10" si="9">E6</f>
        <v>-0.43078291609245428</v>
      </c>
      <c r="AJ6" s="124">
        <f t="shared" ref="AJ6:AJ10" si="10">F6</f>
        <v>0.12308083316927264</v>
      </c>
      <c r="AK6" s="124">
        <f t="shared" ref="AK6:AK10" si="11">G6</f>
        <v>0</v>
      </c>
      <c r="AL6" s="113">
        <f t="shared" ref="AL6:AL10" si="12">H6</f>
        <v>0.30770208292318163</v>
      </c>
      <c r="AM6" s="113">
        <f t="shared" ref="AM6:AM10" si="13">I6</f>
        <v>0</v>
      </c>
      <c r="AN6" s="125"/>
      <c r="AO6" s="113">
        <v>0</v>
      </c>
      <c r="AP6" s="113">
        <v>0.22677130163322565</v>
      </c>
      <c r="AQ6" s="113">
        <v>-9.9224825898109326E-2</v>
      </c>
      <c r="AR6" s="113">
        <v>2.3577316266499327E-2</v>
      </c>
      <c r="AS6" s="113">
        <v>-0.15112379200161563</v>
      </c>
      <c r="AT6" s="113">
        <v>0</v>
      </c>
      <c r="AU6" s="125"/>
      <c r="AV6" s="113">
        <v>0</v>
      </c>
      <c r="AW6" s="113">
        <v>-0.12039867681661633</v>
      </c>
      <c r="AX6" s="113">
        <v>7.2045213723318458E-2</v>
      </c>
      <c r="AY6" s="113">
        <v>-3.5350019138721718E-2</v>
      </c>
      <c r="AZ6" s="113">
        <v>6.899518696625484E-2</v>
      </c>
      <c r="BA6" s="113">
        <v>1.4708295265764729E-2</v>
      </c>
      <c r="BB6" s="125"/>
      <c r="BC6" s="113">
        <v>0</v>
      </c>
      <c r="BD6" s="113">
        <v>6.3941360031850691E-2</v>
      </c>
      <c r="BE6" s="113">
        <v>-5.0333912662425047E-2</v>
      </c>
      <c r="BF6" s="113">
        <v>3.8303719063583166E-2</v>
      </c>
      <c r="BG6" s="113">
        <v>-2.9858676944138258E-2</v>
      </c>
      <c r="BH6" s="114">
        <v>-2.2052489488870557E-2</v>
      </c>
    </row>
    <row r="7" spans="2:60" x14ac:dyDescent="0.2">
      <c r="B7" s="101" t="s">
        <v>23</v>
      </c>
      <c r="C7" s="102" t="s">
        <v>9</v>
      </c>
      <c r="D7" s="104">
        <v>0</v>
      </c>
      <c r="E7" s="103">
        <f>rStage2Stage1</f>
        <v>6.385320297074884E-2</v>
      </c>
      <c r="F7" s="103">
        <f>-(rStage2Remission+rStage2Stage1+rStage2Stage3)</f>
        <v>-0.51082562376599072</v>
      </c>
      <c r="G7" s="103">
        <f>rStage2Stage3</f>
        <v>0.19155960891224652</v>
      </c>
      <c r="H7" s="103">
        <f>rStage2Remission</f>
        <v>0.25541281188299536</v>
      </c>
      <c r="I7" s="105">
        <v>0</v>
      </c>
      <c r="J7" s="106"/>
      <c r="K7" s="107"/>
      <c r="L7" s="108">
        <v>0</v>
      </c>
      <c r="M7" s="108">
        <f>rStage2Stage1/(rStage2Stage1+rStage2Stage3+rStage2Remission)*(1-EXP(-(rStage2Stage1+rStage2Stage3+rStage2Remission)))</f>
        <v>0.05</v>
      </c>
      <c r="N7" s="108">
        <f>1-M7-O7-P7</f>
        <v>0.59999999999999987</v>
      </c>
      <c r="O7" s="108">
        <f>rStage2Stage3/(rStage2Stage1+rStage2Stage3+rStage2Remission)*(1-EXP(-(rStage2Stage1+rStage2Stage3+rStage2Remission)))</f>
        <v>0.15000000000000002</v>
      </c>
      <c r="P7" s="108">
        <f>rStage2Remission/(rStage2Stage1+rStage2Stage3+rStage2Remission)*(1-EXP(-(rStage2Stage1+rStage2Stage3+rStage2Remission)))</f>
        <v>0.2</v>
      </c>
      <c r="Q7" s="109">
        <v>0</v>
      </c>
      <c r="R7" s="106"/>
      <c r="S7" s="107"/>
      <c r="T7" s="110">
        <f t="shared" si="2"/>
        <v>0</v>
      </c>
      <c r="U7" s="110">
        <f t="shared" si="3"/>
        <v>4.9992448552161332E-2</v>
      </c>
      <c r="V7" s="110">
        <f t="shared" si="4"/>
        <v>0.61196507342168949</v>
      </c>
      <c r="W7" s="110">
        <f t="shared" si="5"/>
        <v>0.10464863647859855</v>
      </c>
      <c r="X7" s="110">
        <f t="shared" si="6"/>
        <v>0.19199390232056063</v>
      </c>
      <c r="Y7" s="111">
        <f t="shared" si="7"/>
        <v>4.139993922699E-2</v>
      </c>
      <c r="Z7" s="106"/>
      <c r="AA7" s="112">
        <v>0</v>
      </c>
      <c r="AB7" s="112">
        <v>0</v>
      </c>
      <c r="AC7" s="112">
        <v>1</v>
      </c>
      <c r="AD7" s="112">
        <v>0</v>
      </c>
      <c r="AE7" s="112">
        <v>0</v>
      </c>
      <c r="AF7" s="112">
        <v>0</v>
      </c>
      <c r="AG7" s="61"/>
      <c r="AH7" s="126">
        <f t="shared" si="8"/>
        <v>0</v>
      </c>
      <c r="AI7" s="113">
        <f t="shared" si="9"/>
        <v>6.385320297074884E-2</v>
      </c>
      <c r="AJ7" s="124">
        <f t="shared" si="10"/>
        <v>-0.51082562376599072</v>
      </c>
      <c r="AK7" s="124">
        <f t="shared" si="11"/>
        <v>0.19155960891224652</v>
      </c>
      <c r="AL7" s="113">
        <f t="shared" si="12"/>
        <v>0.25541281188299536</v>
      </c>
      <c r="AM7" s="113">
        <f t="shared" si="13"/>
        <v>0</v>
      </c>
      <c r="AN7" s="125"/>
      <c r="AO7" s="113">
        <v>0</v>
      </c>
      <c r="AP7" s="113">
        <v>-3.2451776703077764E-2</v>
      </c>
      <c r="AQ7" s="113">
        <v>0.29591629585649587</v>
      </c>
      <c r="AR7" s="113">
        <v>-0.23063255953765702</v>
      </c>
      <c r="AS7" s="113">
        <v>-0.1523330621597816</v>
      </c>
      <c r="AT7" s="113">
        <v>0.11950110254402049</v>
      </c>
      <c r="AU7" s="125"/>
      <c r="AV7" s="113">
        <v>0</v>
      </c>
      <c r="AW7" s="113">
        <v>1.6370203509326199E-2</v>
      </c>
      <c r="AX7" s="113">
        <v>-0.17939438436318092</v>
      </c>
      <c r="AY7" s="113">
        <v>0.21654791829388167</v>
      </c>
      <c r="AZ7" s="113">
        <v>9.0352340109938686E-2</v>
      </c>
      <c r="BA7" s="113">
        <v>-0.14387607754996562</v>
      </c>
      <c r="BB7" s="125"/>
      <c r="BC7" s="113">
        <v>0</v>
      </c>
      <c r="BD7" s="113">
        <v>-8.717599646471787E-3</v>
      </c>
      <c r="BE7" s="113">
        <v>0.11355871967909785</v>
      </c>
      <c r="BF7" s="113">
        <v>-0.18446429713119367</v>
      </c>
      <c r="BG7" s="113">
        <v>-5.5466444020808955E-2</v>
      </c>
      <c r="BH7" s="114">
        <v>0.13508962111937653</v>
      </c>
    </row>
    <row r="8" spans="2:60" x14ac:dyDescent="0.2">
      <c r="B8" s="101" t="s">
        <v>23</v>
      </c>
      <c r="C8" s="102" t="s">
        <v>10</v>
      </c>
      <c r="D8" s="104">
        <v>0</v>
      </c>
      <c r="E8" s="104">
        <v>0</v>
      </c>
      <c r="F8" s="103">
        <f>rStage3Stage2</f>
        <v>6.9314718055994526E-2</v>
      </c>
      <c r="G8" s="103">
        <f>-(rStage3Death+rStage3Stage2)</f>
        <v>-0.69314718055994529</v>
      </c>
      <c r="H8" s="104">
        <v>0</v>
      </c>
      <c r="I8" s="115">
        <f>rStage3Death</f>
        <v>0.62383246250395075</v>
      </c>
      <c r="J8" s="106"/>
      <c r="K8" s="107"/>
      <c r="L8" s="108">
        <v>0</v>
      </c>
      <c r="M8" s="108">
        <v>0</v>
      </c>
      <c r="N8" s="108">
        <f>rStage3Stage2/(rStage3Death+rStage3Stage2)*(1-EXP(-(rStage3Death+rStage3Stage2)))</f>
        <v>4.9999999999999996E-2</v>
      </c>
      <c r="O8" s="108">
        <f>1-N8-Q8</f>
        <v>0.49999999999999994</v>
      </c>
      <c r="P8" s="108">
        <v>0</v>
      </c>
      <c r="Q8" s="109">
        <f>rStage3Death/(rStage3Death+rStage3Stage2)*(1-EXP(-(rStage3Death+rStage3Stage2)))</f>
        <v>0.45</v>
      </c>
      <c r="R8" s="106"/>
      <c r="S8" s="107"/>
      <c r="T8" s="110">
        <f t="shared" si="2"/>
        <v>0</v>
      </c>
      <c r="U8" s="110">
        <f t="shared" si="3"/>
        <v>1.5276247123751721E-3</v>
      </c>
      <c r="V8" s="110">
        <f t="shared" si="4"/>
        <v>3.7866493743893781E-2</v>
      </c>
      <c r="W8" s="110">
        <f t="shared" si="5"/>
        <v>0.50498692598375206</v>
      </c>
      <c r="X8" s="110">
        <f t="shared" si="6"/>
        <v>5.9671950226568319E-3</v>
      </c>
      <c r="Y8" s="111">
        <f t="shared" si="7"/>
        <v>0.44965176053732209</v>
      </c>
      <c r="Z8" s="106"/>
      <c r="AA8" s="112">
        <v>0</v>
      </c>
      <c r="AB8" s="112">
        <v>0</v>
      </c>
      <c r="AC8" s="112">
        <v>0</v>
      </c>
      <c r="AD8" s="112">
        <v>1</v>
      </c>
      <c r="AE8" s="112">
        <v>0</v>
      </c>
      <c r="AF8" s="112">
        <v>0</v>
      </c>
      <c r="AG8" s="61"/>
      <c r="AH8" s="126">
        <f t="shared" si="8"/>
        <v>0</v>
      </c>
      <c r="AI8" s="113">
        <f t="shared" si="9"/>
        <v>0</v>
      </c>
      <c r="AJ8" s="124">
        <f t="shared" si="10"/>
        <v>6.9314718055994526E-2</v>
      </c>
      <c r="AK8" s="124">
        <f t="shared" si="11"/>
        <v>-0.69314718055994529</v>
      </c>
      <c r="AL8" s="113">
        <f t="shared" si="12"/>
        <v>0</v>
      </c>
      <c r="AM8" s="113">
        <f t="shared" si="13"/>
        <v>0.62383246250395075</v>
      </c>
      <c r="AN8" s="125"/>
      <c r="AO8" s="113">
        <v>0</v>
      </c>
      <c r="AP8" s="113">
        <v>4.4259667608896481E-3</v>
      </c>
      <c r="AQ8" s="113">
        <v>-8.3453035478937315E-2</v>
      </c>
      <c r="AR8" s="113">
        <v>0.49373091420087034</v>
      </c>
      <c r="AS8" s="113">
        <v>1.7703867043558592E-2</v>
      </c>
      <c r="AT8" s="113">
        <v>-0.43240771252638127</v>
      </c>
      <c r="AU8" s="125"/>
      <c r="AV8" s="113">
        <v>0</v>
      </c>
      <c r="AW8" s="113">
        <v>-5.3172321341526194E-3</v>
      </c>
      <c r="AX8" s="113">
        <v>7.8356590866861753E-2</v>
      </c>
      <c r="AY8" s="113">
        <v>-0.35821442197250258</v>
      </c>
      <c r="AZ8" s="113">
        <v>-2.283030878046232E-2</v>
      </c>
      <c r="BA8" s="113">
        <v>0.3080053720202558</v>
      </c>
      <c r="BB8" s="125"/>
      <c r="BC8" s="113">
        <v>0</v>
      </c>
      <c r="BD8" s="113">
        <v>4.8203205029388272E-3</v>
      </c>
      <c r="BE8" s="113">
        <v>-6.6747321210616981E-2</v>
      </c>
      <c r="BF8" s="113">
        <v>0.2633052745283036</v>
      </c>
      <c r="BG8" s="113">
        <v>2.2087511142910146E-2</v>
      </c>
      <c r="BH8" s="114">
        <v>-0.22346578496353561</v>
      </c>
    </row>
    <row r="9" spans="2:60" x14ac:dyDescent="0.2">
      <c r="B9" s="101" t="s">
        <v>23</v>
      </c>
      <c r="C9" s="102" t="s">
        <v>11</v>
      </c>
      <c r="D9" s="104">
        <v>0</v>
      </c>
      <c r="E9" s="103">
        <f>rRemissionStage1</f>
        <v>0.10834595299851661</v>
      </c>
      <c r="F9" s="103">
        <f>rRemissionStage2</f>
        <v>5.4172976499258306E-2</v>
      </c>
      <c r="G9" s="104">
        <v>0</v>
      </c>
      <c r="H9" s="103">
        <f>-(rRemissionStage1+rRemissionStage2)</f>
        <v>-0.16251892949777491</v>
      </c>
      <c r="I9" s="105">
        <v>0</v>
      </c>
      <c r="J9" s="106"/>
      <c r="K9" s="107"/>
      <c r="L9" s="108">
        <v>0</v>
      </c>
      <c r="M9" s="108">
        <f>E9/(E9+F9)*(1-EXP(-(E9+F9)))</f>
        <v>0.10000000000000002</v>
      </c>
      <c r="N9" s="108">
        <f>F9/(E9+F9)*(1-EXP(-(E9+F9)))</f>
        <v>5.000000000000001E-2</v>
      </c>
      <c r="O9" s="108">
        <v>0</v>
      </c>
      <c r="P9" s="108">
        <f>1-M9-N9</f>
        <v>0.85</v>
      </c>
      <c r="Q9" s="109">
        <v>0</v>
      </c>
      <c r="R9" s="106"/>
      <c r="S9" s="107"/>
      <c r="T9" s="110">
        <f t="shared" si="2"/>
        <v>0</v>
      </c>
      <c r="U9" s="110">
        <f t="shared" si="3"/>
        <v>8.2656029093525665E-2</v>
      </c>
      <c r="V9" s="110">
        <f t="shared" si="4"/>
        <v>4.3968020381350295E-2</v>
      </c>
      <c r="W9" s="110">
        <f t="shared" si="5"/>
        <v>3.6589363136687505E-3</v>
      </c>
      <c r="X9" s="110">
        <f t="shared" si="6"/>
        <v>0.86894025559308163</v>
      </c>
      <c r="Y9" s="111">
        <f t="shared" si="7"/>
        <v>7.7675861837368451E-4</v>
      </c>
      <c r="Z9" s="106"/>
      <c r="AA9" s="112">
        <v>0</v>
      </c>
      <c r="AB9" s="112">
        <v>0</v>
      </c>
      <c r="AC9" s="112">
        <v>0</v>
      </c>
      <c r="AD9" s="112">
        <v>0</v>
      </c>
      <c r="AE9" s="112">
        <v>1</v>
      </c>
      <c r="AF9" s="112">
        <v>0</v>
      </c>
      <c r="AG9" s="61"/>
      <c r="AH9" s="126">
        <f t="shared" si="8"/>
        <v>0</v>
      </c>
      <c r="AI9" s="113">
        <f t="shared" si="9"/>
        <v>0.10834595299851661</v>
      </c>
      <c r="AJ9" s="124">
        <f t="shared" si="10"/>
        <v>5.4172976499258306E-2</v>
      </c>
      <c r="AK9" s="124">
        <f t="shared" si="11"/>
        <v>0</v>
      </c>
      <c r="AL9" s="113">
        <f t="shared" si="12"/>
        <v>-0.16251892949777491</v>
      </c>
      <c r="AM9" s="113">
        <f t="shared" si="13"/>
        <v>0</v>
      </c>
      <c r="AN9" s="125"/>
      <c r="AO9" s="113">
        <v>0</v>
      </c>
      <c r="AP9" s="113">
        <v>-6.0822735812315384E-2</v>
      </c>
      <c r="AQ9" s="113">
        <v>-2.3141768494285279E-2</v>
      </c>
      <c r="AR9" s="113">
        <v>1.0377354191810243E-2</v>
      </c>
      <c r="AS9" s="113">
        <v>7.3587150114790417E-2</v>
      </c>
      <c r="AT9" s="113">
        <v>0</v>
      </c>
      <c r="AU9" s="125"/>
      <c r="AV9" s="113">
        <v>0</v>
      </c>
      <c r="AW9" s="113">
        <v>3.2696589364814364E-2</v>
      </c>
      <c r="AX9" s="113">
        <v>9.0410336605155506E-3</v>
      </c>
      <c r="AY9" s="113">
        <v>-1.1626061922028235E-2</v>
      </c>
      <c r="AZ9" s="113">
        <v>-3.6585291523054356E-2</v>
      </c>
      <c r="BA9" s="113">
        <v>6.4737304197526793E-3</v>
      </c>
      <c r="BB9" s="125"/>
      <c r="BC9" s="113">
        <v>0</v>
      </c>
      <c r="BD9" s="113">
        <v>-1.7471701431255864E-2</v>
      </c>
      <c r="BE9" s="113">
        <v>-3.3818595404311023E-3</v>
      </c>
      <c r="BF9" s="113">
        <v>9.7904689144400238E-3</v>
      </c>
      <c r="BG9" s="113">
        <v>1.8315806895289229E-2</v>
      </c>
      <c r="BH9" s="114">
        <v>-7.2527148380422887E-3</v>
      </c>
    </row>
    <row r="10" spans="2:60" x14ac:dyDescent="0.2">
      <c r="B10" s="101" t="s">
        <v>23</v>
      </c>
      <c r="C10" s="102" t="s">
        <v>12</v>
      </c>
      <c r="D10" s="104">
        <v>0</v>
      </c>
      <c r="E10" s="104">
        <v>0</v>
      </c>
      <c r="F10" s="104">
        <v>0</v>
      </c>
      <c r="G10" s="104">
        <v>0</v>
      </c>
      <c r="H10" s="104">
        <v>0</v>
      </c>
      <c r="I10" s="115">
        <v>0</v>
      </c>
      <c r="J10" s="106"/>
      <c r="K10" s="107"/>
      <c r="L10" s="108">
        <v>0</v>
      </c>
      <c r="M10" s="108">
        <v>0</v>
      </c>
      <c r="N10" s="108">
        <v>0</v>
      </c>
      <c r="O10" s="108">
        <v>0</v>
      </c>
      <c r="P10" s="108">
        <v>0</v>
      </c>
      <c r="Q10" s="109">
        <v>1</v>
      </c>
      <c r="R10" s="106"/>
      <c r="S10" s="107"/>
      <c r="T10" s="110">
        <f t="shared" si="2"/>
        <v>0</v>
      </c>
      <c r="U10" s="110">
        <f t="shared" si="3"/>
        <v>0</v>
      </c>
      <c r="V10" s="110">
        <f t="shared" si="4"/>
        <v>0</v>
      </c>
      <c r="W10" s="110">
        <f t="shared" si="5"/>
        <v>0</v>
      </c>
      <c r="X10" s="110">
        <f t="shared" si="6"/>
        <v>0</v>
      </c>
      <c r="Y10" s="111">
        <f t="shared" si="7"/>
        <v>1</v>
      </c>
      <c r="Z10" s="106"/>
      <c r="AA10" s="112">
        <v>0</v>
      </c>
      <c r="AB10" s="112">
        <v>0</v>
      </c>
      <c r="AC10" s="112">
        <v>0</v>
      </c>
      <c r="AD10" s="112">
        <v>0</v>
      </c>
      <c r="AE10" s="112">
        <v>0</v>
      </c>
      <c r="AF10" s="112">
        <v>1</v>
      </c>
      <c r="AG10" s="61"/>
      <c r="AH10" s="126">
        <f t="shared" si="8"/>
        <v>0</v>
      </c>
      <c r="AI10" s="113">
        <f t="shared" si="9"/>
        <v>0</v>
      </c>
      <c r="AJ10" s="124">
        <f t="shared" si="10"/>
        <v>0</v>
      </c>
      <c r="AK10" s="124">
        <f t="shared" si="11"/>
        <v>0</v>
      </c>
      <c r="AL10" s="113">
        <f t="shared" si="12"/>
        <v>0</v>
      </c>
      <c r="AM10" s="113">
        <f t="shared" si="13"/>
        <v>0</v>
      </c>
      <c r="AN10" s="125"/>
      <c r="AO10" s="113">
        <v>0</v>
      </c>
      <c r="AP10" s="113">
        <v>0</v>
      </c>
      <c r="AQ10" s="113">
        <v>0</v>
      </c>
      <c r="AR10" s="113">
        <v>0</v>
      </c>
      <c r="AS10" s="113">
        <v>0</v>
      </c>
      <c r="AT10" s="113">
        <v>0</v>
      </c>
      <c r="AU10" s="125"/>
      <c r="AV10" s="113">
        <v>0</v>
      </c>
      <c r="AW10" s="113">
        <v>0</v>
      </c>
      <c r="AX10" s="113">
        <v>0</v>
      </c>
      <c r="AY10" s="113">
        <v>0</v>
      </c>
      <c r="AZ10" s="113">
        <v>0</v>
      </c>
      <c r="BA10" s="113">
        <v>0</v>
      </c>
      <c r="BB10" s="125"/>
      <c r="BC10" s="113">
        <v>0</v>
      </c>
      <c r="BD10" s="113">
        <v>0</v>
      </c>
      <c r="BE10" s="113">
        <v>0</v>
      </c>
      <c r="BF10" s="113">
        <v>0</v>
      </c>
      <c r="BG10" s="113">
        <v>0</v>
      </c>
      <c r="BH10" s="114">
        <v>0</v>
      </c>
    </row>
    <row r="11" spans="2:60" ht="16" x14ac:dyDescent="0.2">
      <c r="B11" s="116"/>
      <c r="C11" s="117"/>
      <c r="D11" s="123"/>
      <c r="E11" s="123"/>
      <c r="F11" s="123"/>
      <c r="G11" s="123"/>
      <c r="H11" s="123"/>
      <c r="I11" s="95"/>
      <c r="J11" s="96"/>
      <c r="K11" s="97"/>
      <c r="L11" s="127"/>
      <c r="M11" s="127"/>
      <c r="N11" s="127"/>
      <c r="O11" s="127"/>
      <c r="P11" s="127"/>
      <c r="Q11" s="118"/>
      <c r="R11" s="96"/>
      <c r="S11" s="97"/>
      <c r="T11" s="127"/>
      <c r="U11" s="127"/>
      <c r="V11" s="127"/>
      <c r="W11" s="127"/>
      <c r="X11" s="127"/>
      <c r="Y11" s="118"/>
      <c r="Z11" s="96"/>
      <c r="AA11" s="61"/>
      <c r="AB11" s="61"/>
      <c r="AC11" s="61"/>
      <c r="AD11" s="61"/>
      <c r="AE11" s="61"/>
      <c r="AF11" s="61"/>
      <c r="AG11" s="61"/>
      <c r="AH11" s="119"/>
      <c r="AI11" s="125"/>
      <c r="AJ11" s="125"/>
      <c r="AK11" s="125"/>
      <c r="AL11" s="125"/>
      <c r="AM11" s="125"/>
      <c r="AN11" s="125"/>
      <c r="AO11" s="125"/>
      <c r="AP11" s="125"/>
      <c r="AQ11" s="125"/>
      <c r="AR11" s="125"/>
      <c r="AS11" s="125"/>
      <c r="AT11" s="125"/>
      <c r="AU11" s="125"/>
      <c r="AV11" s="125"/>
      <c r="AW11" s="125"/>
      <c r="AX11" s="125"/>
      <c r="AY11" s="125"/>
      <c r="AZ11" s="125"/>
      <c r="BA11" s="125"/>
      <c r="BB11" s="125"/>
      <c r="BC11" s="125"/>
      <c r="BD11" s="125"/>
      <c r="BE11" s="125"/>
      <c r="BF11" s="125"/>
      <c r="BG11" s="125"/>
      <c r="BH11" s="120"/>
    </row>
    <row r="12" spans="2:60" ht="17" customHeight="1" x14ac:dyDescent="0.2">
      <c r="B12" s="101" t="s">
        <v>172</v>
      </c>
      <c r="C12" s="102" t="s">
        <v>7</v>
      </c>
      <c r="D12" s="103">
        <f>-(rHealthyStage1+rHealthyStage2+rHealthyStage3)</f>
        <v>-8.3381608939051138E-2</v>
      </c>
      <c r="E12" s="103">
        <f>rHealthyStage1</f>
        <v>5.2113505586906958E-2</v>
      </c>
      <c r="F12" s="103">
        <f>rHealthyStage2</f>
        <v>2.0845402234762785E-2</v>
      </c>
      <c r="G12" s="103">
        <f>rHealthyStage3</f>
        <v>1.0422701117381392E-2</v>
      </c>
      <c r="H12" s="104">
        <v>0</v>
      </c>
      <c r="I12" s="105">
        <v>0</v>
      </c>
      <c r="J12" s="106"/>
      <c r="K12" s="107" t="s">
        <v>173</v>
      </c>
      <c r="L12" s="108">
        <f>1-M12-N12-O12</f>
        <v>0.91999999999999993</v>
      </c>
      <c r="M12" s="108">
        <f>(rHealthyStage1/(rHealthyStage1+rHealthyStage2+rHealthyStage3))*(1-EXP(-(rHealthyStage1+rHealthyStage2+rHealthyStage3)))</f>
        <v>5.0000000000000044E-2</v>
      </c>
      <c r="N12" s="108">
        <f>(rHealthyStage2/(rHealthyStage1+rHealthyStage2+rHealthyStage3))*(1-EXP(-(rHealthyStage1+rHealthyStage2+rHealthyStage3)))</f>
        <v>2.0000000000000018E-2</v>
      </c>
      <c r="O12" s="108">
        <f>(rHealthyStage3/(rHealthyStage1+rHealthyStage2+rHealthyStage3))*(1-EXP(-(rHealthyStage1+rHealthyStage2+rHealthyStage3)))</f>
        <v>1.0000000000000009E-2</v>
      </c>
      <c r="P12" s="108">
        <v>0</v>
      </c>
      <c r="Q12" s="109">
        <v>0</v>
      </c>
      <c r="R12" s="106"/>
      <c r="S12" s="107" t="s">
        <v>184</v>
      </c>
      <c r="T12" s="110">
        <f>AA12+AH12+(1/FACT(2))*AO12 + (1/FACT(3))*AV12+(1/FACT(4))*BC12</f>
        <v>0.92000003312566181</v>
      </c>
      <c r="U12" s="110">
        <f t="shared" ref="U12:Y12" si="14">AB12+AI12+(1/FACT(2))*AP12 + (1/FACT(3))*AW12+(1/FACT(4))*BD12</f>
        <v>4.1070874070691848E-2</v>
      </c>
      <c r="V12" s="110">
        <f t="shared" si="14"/>
        <v>1.8225453981588331E-2</v>
      </c>
      <c r="W12" s="110">
        <f t="shared" si="14"/>
        <v>8.6322920214033181E-3</v>
      </c>
      <c r="X12" s="110">
        <f t="shared" si="14"/>
        <v>9.1970432288276498E-3</v>
      </c>
      <c r="Y12" s="111">
        <f t="shared" si="14"/>
        <v>2.8743035718271285E-3</v>
      </c>
      <c r="Z12" s="106"/>
      <c r="AA12" s="112">
        <v>1</v>
      </c>
      <c r="AB12" s="112">
        <v>0</v>
      </c>
      <c r="AC12" s="112">
        <v>0</v>
      </c>
      <c r="AD12" s="112">
        <v>0</v>
      </c>
      <c r="AE12" s="112">
        <v>0</v>
      </c>
      <c r="AF12" s="112">
        <v>0</v>
      </c>
      <c r="AG12" s="61"/>
      <c r="AH12" s="126">
        <f>D12</f>
        <v>-8.3381608939051138E-2</v>
      </c>
      <c r="AI12" s="113">
        <f t="shared" ref="AI12:AI17" si="15">E12</f>
        <v>5.2113505586906958E-2</v>
      </c>
      <c r="AJ12" s="124">
        <f t="shared" ref="AJ12:AJ17" si="16">F12</f>
        <v>2.0845402234762785E-2</v>
      </c>
      <c r="AK12" s="124">
        <f t="shared" ref="AK12:AK17" si="17">G12</f>
        <v>1.0422701117381392E-2</v>
      </c>
      <c r="AL12" s="113">
        <f t="shared" ref="AL12:AL17" si="18">H12</f>
        <v>0</v>
      </c>
      <c r="AM12" s="113">
        <f t="shared" ref="AM12:AM17" si="19">I12</f>
        <v>0</v>
      </c>
      <c r="AN12" s="125"/>
      <c r="AO12" s="113" cm="1">
        <f t="array" ref="AO12:AT17">MMULT(AH12:AM17,AH12:AM17)</f>
        <v>6.9524927092648528E-3</v>
      </c>
      <c r="AP12" s="113">
        <v>-2.5463870147915513E-2</v>
      </c>
      <c r="AQ12" s="113">
        <v>-5.2498685002006461E-3</v>
      </c>
      <c r="AR12" s="113">
        <v>-4.1003903822803816E-3</v>
      </c>
      <c r="AS12" s="113">
        <v>2.1359617017132973E-2</v>
      </c>
      <c r="AT12" s="113">
        <v>6.5020193039987129E-3</v>
      </c>
      <c r="AU12" s="125"/>
      <c r="AV12" s="113" cm="1">
        <f t="array" ref="AV12:BA17">MMULT(_xlfn.ANCHORARRAY(AO12),AH12:AM17)</f>
        <v>-5.797100282355261E-4</v>
      </c>
      <c r="AW12" s="113">
        <v>1.1430229423731968E-2</v>
      </c>
      <c r="AX12" s="113">
        <v>-3.7477122958399633E-4</v>
      </c>
      <c r="AY12" s="113">
        <v>1.9089750294630455E-3</v>
      </c>
      <c r="AZ12" s="113">
        <v>-9.8267665659700042E-3</v>
      </c>
      <c r="BA12" s="113">
        <v>-2.5579566294054866E-3</v>
      </c>
      <c r="BB12" s="125"/>
      <c r="BC12" s="113" cm="1">
        <f t="array" ref="BC12:BH17">MMULT(_xlfn.ANCHORARRAY(AV12),AH12:AM17)</f>
        <v>4.8337154872380933E-5</v>
      </c>
      <c r="BD12" s="113">
        <v>-5.1776323091042775E-3</v>
      </c>
      <c r="BE12" s="113">
        <v>1.6187488445568348E-3</v>
      </c>
      <c r="BF12" s="113">
        <v>-1.4010338339613682E-3</v>
      </c>
      <c r="BG12" s="113">
        <v>3.7206995501479459E-3</v>
      </c>
      <c r="BH12" s="114">
        <v>1.1908805934884837E-3</v>
      </c>
    </row>
    <row r="13" spans="2:60" ht="17" customHeight="1" x14ac:dyDescent="0.2">
      <c r="B13" s="101" t="s">
        <v>172</v>
      </c>
      <c r="C13" s="102" t="s">
        <v>8</v>
      </c>
      <c r="D13" s="104">
        <v>0</v>
      </c>
      <c r="E13" s="103">
        <f>-(rStage1Remission+rStage1Stage2)</f>
        <v>-0.43078291609245428</v>
      </c>
      <c r="F13" s="103">
        <f>rStage1Stage2</f>
        <v>0.12308083316927264</v>
      </c>
      <c r="G13" s="104">
        <v>0</v>
      </c>
      <c r="H13" s="103">
        <f>rStage1Remission</f>
        <v>0.30770208292318163</v>
      </c>
      <c r="I13" s="105">
        <v>0</v>
      </c>
      <c r="J13" s="106"/>
      <c r="K13" s="107"/>
      <c r="L13" s="108">
        <v>0</v>
      </c>
      <c r="M13" s="108">
        <f>1-N13-P13</f>
        <v>0.65</v>
      </c>
      <c r="N13" s="108">
        <f>rStage1Stage2/(rStage1Remission+rStage1Stage2)*(1-EXP(-(rStage1Remission+rStage1Stage2)))</f>
        <v>9.9999999999999992E-2</v>
      </c>
      <c r="O13" s="108">
        <v>0</v>
      </c>
      <c r="P13" s="108">
        <f>rStage1Remission/(rStage1Remission+rStage1Stage2)*(1-EXP(-(rStage1Remission+rStage1Stage2)))</f>
        <v>0.25</v>
      </c>
      <c r="Q13" s="109">
        <f>(1-EXP(-I13))</f>
        <v>0</v>
      </c>
      <c r="R13" s="106"/>
      <c r="S13" s="107"/>
      <c r="T13" s="110">
        <f t="shared" ref="T13:T17" si="20">AA13+AH13+(1/FACT(2))*AO13 + (1/FACT(3))*AV13+(1/FACT(4))*BC13</f>
        <v>0</v>
      </c>
      <c r="U13" s="110">
        <f t="shared" ref="U13:U17" si="21">AB13+AI13+(1/FACT(2))*AP13 + (1/FACT(3))*AW13+(1/FACT(4))*BD13</f>
        <v>0.65511109995477346</v>
      </c>
      <c r="V13" s="110">
        <f t="shared" ref="V13:V17" si="22">AC13+AJ13+(1/FACT(2))*AQ13 + (1/FACT(3))*AX13+(1/FACT(4))*BE13</f>
        <v>7.8134385796108999E-2</v>
      </c>
      <c r="W13" s="110">
        <f t="shared" ref="W13:W17" si="23">AD13+AK13+(1/FACT(2))*AR13 + (1/FACT(3))*AY13+(1/FACT(4))*BF13</f>
        <v>7.2204712578098984E-3</v>
      </c>
      <c r="X13" s="110">
        <f t="shared" ref="X13:X17" si="24">AE13+AL13+(1/FACT(2))*AS13 + (1/FACT(3))*AZ13+(1/FACT(4))*BG13</f>
        <v>0.25806895769599708</v>
      </c>
      <c r="Y13" s="111">
        <f t="shared" ref="Y13:Y17" si="25">AF13+AM13+(1/FACT(2))*AT13 + (1/FACT(3))*BA13+(1/FACT(4))*BH13</f>
        <v>1.4650852953105222E-3</v>
      </c>
      <c r="Z13" s="106"/>
      <c r="AA13" s="112">
        <v>0</v>
      </c>
      <c r="AB13" s="112">
        <v>1</v>
      </c>
      <c r="AC13" s="112">
        <v>0</v>
      </c>
      <c r="AD13" s="112">
        <v>0</v>
      </c>
      <c r="AE13" s="112">
        <v>0</v>
      </c>
      <c r="AF13" s="112">
        <v>0</v>
      </c>
      <c r="AG13" s="61"/>
      <c r="AH13" s="126">
        <f t="shared" ref="AH13:AH17" si="26">D13</f>
        <v>0</v>
      </c>
      <c r="AI13" s="113">
        <f t="shared" si="15"/>
        <v>-0.43078291609245428</v>
      </c>
      <c r="AJ13" s="124">
        <f t="shared" si="16"/>
        <v>0.12308083316927264</v>
      </c>
      <c r="AK13" s="124">
        <f t="shared" si="17"/>
        <v>0</v>
      </c>
      <c r="AL13" s="113">
        <f t="shared" si="18"/>
        <v>0.30770208292318163</v>
      </c>
      <c r="AM13" s="113">
        <f t="shared" si="19"/>
        <v>0</v>
      </c>
      <c r="AN13" s="125"/>
      <c r="AO13" s="113">
        <v>0</v>
      </c>
      <c r="AP13" s="113">
        <v>0.19968126727744109</v>
      </c>
      <c r="AQ13" s="113">
        <v>-0.1127698430760016</v>
      </c>
      <c r="AR13" s="113">
        <v>2.3577316266499327E-2</v>
      </c>
      <c r="AS13" s="113">
        <v>-0.11048874046793877</v>
      </c>
      <c r="AT13" s="113">
        <v>0</v>
      </c>
      <c r="AU13" s="125"/>
      <c r="AV13" s="113">
        <v>0</v>
      </c>
      <c r="AW13" s="113">
        <v>-9.5463593932815644E-2</v>
      </c>
      <c r="AX13" s="113">
        <v>8.2695117382078798E-2</v>
      </c>
      <c r="AY13" s="113">
        <v>-3.7944697332028418E-2</v>
      </c>
      <c r="AZ13" s="113">
        <v>3.6004878617000538E-2</v>
      </c>
      <c r="BA13" s="113">
        <v>1.4708295265764729E-2</v>
      </c>
      <c r="BB13" s="125"/>
      <c r="BC13" s="113">
        <v>0</v>
      </c>
      <c r="BD13" s="113">
        <v>4.7135553535436671E-2</v>
      </c>
      <c r="BE13" s="113">
        <v>-5.6257089572223563E-2</v>
      </c>
      <c r="BF13" s="113">
        <v>4.2142304317559311E-2</v>
      </c>
      <c r="BG13" s="113">
        <v>-9.3496343051660321E-3</v>
      </c>
      <c r="BH13" s="114">
        <v>-2.3671133975606377E-2</v>
      </c>
    </row>
    <row r="14" spans="2:60" ht="17" customHeight="1" x14ac:dyDescent="0.2">
      <c r="B14" s="101" t="s">
        <v>172</v>
      </c>
      <c r="C14" s="102" t="s">
        <v>9</v>
      </c>
      <c r="D14" s="104">
        <v>0</v>
      </c>
      <c r="E14" s="103">
        <f>rStage2Stage1</f>
        <v>6.385320297074884E-2</v>
      </c>
      <c r="F14" s="103">
        <f>-(rStage2Remission+rStage2Stage1+rStage2Stage3)</f>
        <v>-0.51082562376599072</v>
      </c>
      <c r="G14" s="103">
        <f>rStage2Stage3</f>
        <v>0.19155960891224652</v>
      </c>
      <c r="H14" s="103">
        <f>rStage2Remission</f>
        <v>0.25541281188299536</v>
      </c>
      <c r="I14" s="105">
        <v>0</v>
      </c>
      <c r="J14" s="106"/>
      <c r="K14" s="107"/>
      <c r="L14" s="108">
        <v>0</v>
      </c>
      <c r="M14" s="108">
        <f>rStage2Stage1/(rStage2Stage1+rStage2Stage3+rStage2Remission)*(1-EXP(-(rStage2Stage1+rStage2Stage3+rStage2Remission)))</f>
        <v>0.05</v>
      </c>
      <c r="N14" s="108">
        <f>1-M14-O14-P14</f>
        <v>0.59999999999999987</v>
      </c>
      <c r="O14" s="108">
        <f>rStage2Stage3/(rStage2Stage1+rStage2Stage3+rStage2Remission)*(1-EXP(-(rStage2Stage1+rStage2Stage3+rStage2Remission)))</f>
        <v>0.15000000000000002</v>
      </c>
      <c r="P14" s="108">
        <f>rStage2Remission/(rStage2Stage1+rStage2Stage3+rStage2Remission)*(1-EXP(-(rStage2Stage1+rStage2Stage3+rStage2Remission)))</f>
        <v>0.2</v>
      </c>
      <c r="Q14" s="109">
        <v>0</v>
      </c>
      <c r="R14" s="106"/>
      <c r="S14" s="107"/>
      <c r="T14" s="110">
        <f t="shared" si="20"/>
        <v>0</v>
      </c>
      <c r="U14" s="110">
        <f t="shared" si="21"/>
        <v>4.1848445956663219E-2</v>
      </c>
      <c r="V14" s="110">
        <f t="shared" si="22"/>
        <v>0.60773399496824454</v>
      </c>
      <c r="W14" s="110">
        <f t="shared" si="23"/>
        <v>0.10443188728337108</v>
      </c>
      <c r="X14" s="110">
        <f t="shared" si="24"/>
        <v>0.20464171508845855</v>
      </c>
      <c r="Y14" s="111">
        <f t="shared" si="25"/>
        <v>4.1343956703262755E-2</v>
      </c>
      <c r="Z14" s="106"/>
      <c r="AA14" s="112">
        <v>0</v>
      </c>
      <c r="AB14" s="112">
        <v>0</v>
      </c>
      <c r="AC14" s="112">
        <v>1</v>
      </c>
      <c r="AD14" s="112">
        <v>0</v>
      </c>
      <c r="AE14" s="112">
        <v>0</v>
      </c>
      <c r="AF14" s="112">
        <v>0</v>
      </c>
      <c r="AG14" s="61"/>
      <c r="AH14" s="126">
        <f t="shared" si="26"/>
        <v>0</v>
      </c>
      <c r="AI14" s="113">
        <f t="shared" si="15"/>
        <v>6.385320297074884E-2</v>
      </c>
      <c r="AJ14" s="124">
        <f t="shared" si="16"/>
        <v>-0.51082562376599072</v>
      </c>
      <c r="AK14" s="124">
        <f t="shared" si="17"/>
        <v>0.19155960891224652</v>
      </c>
      <c r="AL14" s="113">
        <f t="shared" si="18"/>
        <v>0.25541281188299536</v>
      </c>
      <c r="AM14" s="113">
        <f t="shared" si="19"/>
        <v>0</v>
      </c>
      <c r="AN14" s="125"/>
      <c r="AO14" s="113">
        <v>0</v>
      </c>
      <c r="AP14" s="113">
        <v>-5.4938273326973742E-2</v>
      </c>
      <c r="AQ14" s="113">
        <v>0.28467304754454792</v>
      </c>
      <c r="AR14" s="113">
        <v>-0.23063255953765702</v>
      </c>
      <c r="AS14" s="113">
        <v>-0.11860331722393763</v>
      </c>
      <c r="AT14" s="113">
        <v>0.11950110254402049</v>
      </c>
      <c r="AU14" s="125"/>
      <c r="AV14" s="113">
        <v>0</v>
      </c>
      <c r="AW14" s="113">
        <v>3.943538010890929E-2</v>
      </c>
      <c r="AX14" s="113">
        <v>-0.16937055405672566</v>
      </c>
      <c r="AY14" s="113">
        <v>0.21439416604434164</v>
      </c>
      <c r="AZ14" s="113">
        <v>5.9417085453440342E-2</v>
      </c>
      <c r="BA14" s="113">
        <v>-0.14387607754996562</v>
      </c>
      <c r="BB14" s="125"/>
      <c r="BC14" s="113">
        <v>0</v>
      </c>
      <c r="BD14" s="113">
        <v>-2.6596408850007268E-2</v>
      </c>
      <c r="BE14" s="113">
        <v>0.10683649531397113</v>
      </c>
      <c r="BF14" s="113">
        <v>-0.18105126881849304</v>
      </c>
      <c r="BG14" s="113">
        <v>-3.2934858195393373E-2</v>
      </c>
      <c r="BH14" s="114">
        <v>0.13374604054992253</v>
      </c>
    </row>
    <row r="15" spans="2:60" ht="17" customHeight="1" x14ac:dyDescent="0.2">
      <c r="B15" s="101" t="s">
        <v>172</v>
      </c>
      <c r="C15" s="102" t="s">
        <v>10</v>
      </c>
      <c r="D15" s="104">
        <v>0</v>
      </c>
      <c r="E15" s="104">
        <v>0</v>
      </c>
      <c r="F15" s="103">
        <f>rStage3Stage2</f>
        <v>6.9314718055994526E-2</v>
      </c>
      <c r="G15" s="103">
        <f>-(rStage3Death+rStage3Stage2)</f>
        <v>-0.69314718055994529</v>
      </c>
      <c r="H15" s="104">
        <v>0</v>
      </c>
      <c r="I15" s="115">
        <f>rStage3Death</f>
        <v>0.62383246250395075</v>
      </c>
      <c r="J15" s="106"/>
      <c r="K15" s="107"/>
      <c r="L15" s="108">
        <v>0</v>
      </c>
      <c r="M15" s="108">
        <v>0</v>
      </c>
      <c r="N15" s="108">
        <f>rStage3Stage2/(rStage3Death+rStage3Stage2)*(1-EXP(-(rStage3Death+rStage3Stage2)))</f>
        <v>4.9999999999999996E-2</v>
      </c>
      <c r="O15" s="108">
        <f>1-N15-Q15</f>
        <v>0.49999999999999994</v>
      </c>
      <c r="P15" s="108">
        <v>0</v>
      </c>
      <c r="Q15" s="109">
        <f>rStage3Death/(rStage3Death+rStage3Stage2)*(1-EXP(-(rStage3Death+rStage3Stage2)))</f>
        <v>0.45</v>
      </c>
      <c r="R15" s="106"/>
      <c r="S15" s="107"/>
      <c r="T15" s="110">
        <f t="shared" si="20"/>
        <v>0</v>
      </c>
      <c r="U15" s="110">
        <f t="shared" si="21"/>
        <v>1.3794807968019788E-3</v>
      </c>
      <c r="V15" s="110">
        <f t="shared" si="22"/>
        <v>3.7788064322152072E-2</v>
      </c>
      <c r="W15" s="110">
        <f t="shared" si="23"/>
        <v>0.50498070570333797</v>
      </c>
      <c r="X15" s="110">
        <f t="shared" si="24"/>
        <v>6.1999886403858789E-3</v>
      </c>
      <c r="Y15" s="111">
        <f t="shared" si="25"/>
        <v>0.44965176053732209</v>
      </c>
      <c r="Z15" s="106"/>
      <c r="AA15" s="112">
        <v>0</v>
      </c>
      <c r="AB15" s="112">
        <v>0</v>
      </c>
      <c r="AC15" s="112">
        <v>0</v>
      </c>
      <c r="AD15" s="112">
        <v>1</v>
      </c>
      <c r="AE15" s="112">
        <v>0</v>
      </c>
      <c r="AF15" s="112">
        <v>0</v>
      </c>
      <c r="AG15" s="61"/>
      <c r="AH15" s="126">
        <f t="shared" si="26"/>
        <v>0</v>
      </c>
      <c r="AI15" s="113">
        <f t="shared" si="15"/>
        <v>0</v>
      </c>
      <c r="AJ15" s="124">
        <f t="shared" si="16"/>
        <v>6.9314718055994526E-2</v>
      </c>
      <c r="AK15" s="124">
        <f t="shared" si="17"/>
        <v>-0.69314718055994529</v>
      </c>
      <c r="AL15" s="113">
        <f t="shared" si="18"/>
        <v>0</v>
      </c>
      <c r="AM15" s="113">
        <f t="shared" si="19"/>
        <v>0.62383246250395075</v>
      </c>
      <c r="AN15" s="125"/>
      <c r="AO15" s="113">
        <v>0</v>
      </c>
      <c r="AP15" s="113">
        <v>4.4259667608896481E-3</v>
      </c>
      <c r="AQ15" s="113">
        <v>-8.3453035478937315E-2</v>
      </c>
      <c r="AR15" s="113">
        <v>0.49373091420087034</v>
      </c>
      <c r="AS15" s="113">
        <v>1.7703867043558592E-2</v>
      </c>
      <c r="AT15" s="113">
        <v>-0.43240771252638127</v>
      </c>
      <c r="AU15" s="125"/>
      <c r="AV15" s="113">
        <v>0</v>
      </c>
      <c r="AW15" s="113">
        <v>-6.8758773077050419E-3</v>
      </c>
      <c r="AX15" s="113">
        <v>7.7577268280085543E-2</v>
      </c>
      <c r="AY15" s="113">
        <v>-0.35821442197250258</v>
      </c>
      <c r="AZ15" s="113">
        <v>-2.0492341020133687E-2</v>
      </c>
      <c r="BA15" s="113">
        <v>0.3080053720202558</v>
      </c>
      <c r="BB15" s="125"/>
      <c r="BC15" s="113">
        <v>0</v>
      </c>
      <c r="BD15" s="113">
        <v>7.4994472233918773E-3</v>
      </c>
      <c r="BE15" s="113">
        <v>-6.551233698531328E-2</v>
      </c>
      <c r="BF15" s="113">
        <v>0.2631559877983643</v>
      </c>
      <c r="BG15" s="113">
        <v>1.8322686927092727E-2</v>
      </c>
      <c r="BH15" s="114">
        <v>-0.22346578496353561</v>
      </c>
    </row>
    <row r="16" spans="2:60" x14ac:dyDescent="0.2">
      <c r="B16" s="101" t="s">
        <v>172</v>
      </c>
      <c r="C16" s="102" t="s">
        <v>11</v>
      </c>
      <c r="D16" s="104">
        <v>0</v>
      </c>
      <c r="E16" s="103">
        <f>rRemissionStage1*hrRemissionStage1_trtA</f>
        <v>2.0306138323139052E-2</v>
      </c>
      <c r="F16" s="103">
        <f>rRemissionStage2*hrRemissionStage2_trtA</f>
        <v>1.0153069161569526E-2</v>
      </c>
      <c r="G16" s="104">
        <v>0</v>
      </c>
      <c r="H16" s="103">
        <f>-(hrRemissionStage1_trtA*rRemissionStage1+hrRemissionStage2_trtA*rRemissionStage2)</f>
        <v>-3.0459207484708577E-2</v>
      </c>
      <c r="I16" s="105">
        <v>0</v>
      </c>
      <c r="J16" s="106"/>
      <c r="K16" s="107"/>
      <c r="L16" s="108">
        <v>0</v>
      </c>
      <c r="M16" s="108">
        <f>E16/(E16+F16)*(1-EXP(-(E16+F16)))</f>
        <v>2.0000000000000018E-2</v>
      </c>
      <c r="N16" s="108">
        <f>F16/(E16+F16)*(1-EXP(-(E16+F16)))</f>
        <v>1.0000000000000009E-2</v>
      </c>
      <c r="O16" s="108">
        <v>0</v>
      </c>
      <c r="P16" s="108">
        <f>1-M16-N16</f>
        <v>0.97</v>
      </c>
      <c r="Q16" s="109">
        <v>0</v>
      </c>
      <c r="R16" s="106"/>
      <c r="S16" s="107"/>
      <c r="T16" s="110">
        <f t="shared" si="20"/>
        <v>0</v>
      </c>
      <c r="U16" s="110">
        <f t="shared" si="21"/>
        <v>1.6505488372659197E-2</v>
      </c>
      <c r="V16" s="110">
        <f t="shared" si="22"/>
        <v>8.7675800993601612E-3</v>
      </c>
      <c r="W16" s="110">
        <f t="shared" si="23"/>
        <v>7.1314128482898584E-4</v>
      </c>
      <c r="X16" s="110">
        <f t="shared" si="24"/>
        <v>0.97386153438891887</v>
      </c>
      <c r="Y16" s="111">
        <f t="shared" si="25"/>
        <v>1.5225585423277757E-4</v>
      </c>
      <c r="Z16" s="106"/>
      <c r="AA16" s="112">
        <v>0</v>
      </c>
      <c r="AB16" s="112">
        <v>0</v>
      </c>
      <c r="AC16" s="112">
        <v>0</v>
      </c>
      <c r="AD16" s="112">
        <v>0</v>
      </c>
      <c r="AE16" s="112">
        <v>1</v>
      </c>
      <c r="AF16" s="112">
        <v>0</v>
      </c>
      <c r="AG16" s="61"/>
      <c r="AH16" s="126">
        <f t="shared" si="26"/>
        <v>0</v>
      </c>
      <c r="AI16" s="113">
        <f t="shared" si="15"/>
        <v>2.0306138323139052E-2</v>
      </c>
      <c r="AJ16" s="124">
        <f t="shared" si="16"/>
        <v>1.0153069161569526E-2</v>
      </c>
      <c r="AK16" s="124">
        <f t="shared" si="17"/>
        <v>0</v>
      </c>
      <c r="AL16" s="113">
        <f t="shared" si="18"/>
        <v>-3.0459207484708577E-2</v>
      </c>
      <c r="AM16" s="113">
        <f t="shared" si="19"/>
        <v>0</v>
      </c>
      <c r="AN16" s="125"/>
      <c r="AO16" s="113">
        <v>0</v>
      </c>
      <c r="AP16" s="113">
        <v>-8.7177403758665166E-3</v>
      </c>
      <c r="AQ16" s="113">
        <v>-2.9964059045343881E-3</v>
      </c>
      <c r="AR16" s="113">
        <v>1.9449179578492491E-3</v>
      </c>
      <c r="AS16" s="113">
        <v>9.7692283225516534E-3</v>
      </c>
      <c r="AT16" s="113">
        <v>0</v>
      </c>
      <c r="AU16" s="125"/>
      <c r="AV16" s="113">
        <v>0</v>
      </c>
      <c r="AW16" s="113">
        <v>3.7624988080757838E-3</v>
      </c>
      <c r="AX16" s="113">
        <v>6.9165325712920961E-4</v>
      </c>
      <c r="AY16" s="113">
        <v>-1.9221047421185671E-3</v>
      </c>
      <c r="AZ16" s="113">
        <v>-3.7453502820996784E-3</v>
      </c>
      <c r="BA16" s="113">
        <v>1.2133029590132521E-3</v>
      </c>
      <c r="BB16" s="125"/>
      <c r="BC16" s="113">
        <v>0</v>
      </c>
      <c r="BD16" s="113">
        <v>-1.6527095334213425E-3</v>
      </c>
      <c r="BE16" s="113">
        <v>-6.1479667128945482E-5</v>
      </c>
      <c r="BF16" s="113">
        <v>1.4647943101789385E-3</v>
      </c>
      <c r="BG16" s="113">
        <v>1.4484662248376967E-3</v>
      </c>
      <c r="BH16" s="114">
        <v>-1.1990713344663469E-3</v>
      </c>
    </row>
    <row r="17" spans="2:60" x14ac:dyDescent="0.2">
      <c r="B17" s="101" t="s">
        <v>172</v>
      </c>
      <c r="C17" s="102" t="s">
        <v>12</v>
      </c>
      <c r="D17" s="104">
        <v>0</v>
      </c>
      <c r="E17" s="104">
        <v>0</v>
      </c>
      <c r="F17" s="104">
        <v>0</v>
      </c>
      <c r="G17" s="104">
        <v>0</v>
      </c>
      <c r="H17" s="104">
        <v>0</v>
      </c>
      <c r="I17" s="115">
        <v>0</v>
      </c>
      <c r="J17" s="106"/>
      <c r="K17" s="107"/>
      <c r="L17" s="108">
        <v>0</v>
      </c>
      <c r="M17" s="108">
        <v>0</v>
      </c>
      <c r="N17" s="108">
        <v>0</v>
      </c>
      <c r="O17" s="108">
        <v>0</v>
      </c>
      <c r="P17" s="108">
        <v>0</v>
      </c>
      <c r="Q17" s="109">
        <v>1</v>
      </c>
      <c r="R17" s="106"/>
      <c r="S17" s="107"/>
      <c r="T17" s="110">
        <f t="shared" si="20"/>
        <v>0</v>
      </c>
      <c r="U17" s="110">
        <f t="shared" si="21"/>
        <v>0</v>
      </c>
      <c r="V17" s="110">
        <f t="shared" si="22"/>
        <v>0</v>
      </c>
      <c r="W17" s="110">
        <f t="shared" si="23"/>
        <v>0</v>
      </c>
      <c r="X17" s="110">
        <f t="shared" si="24"/>
        <v>0</v>
      </c>
      <c r="Y17" s="111">
        <f t="shared" si="25"/>
        <v>1</v>
      </c>
      <c r="Z17" s="106"/>
      <c r="AA17" s="112">
        <v>0</v>
      </c>
      <c r="AB17" s="112">
        <v>0</v>
      </c>
      <c r="AC17" s="112">
        <v>0</v>
      </c>
      <c r="AD17" s="112">
        <v>0</v>
      </c>
      <c r="AE17" s="112">
        <v>0</v>
      </c>
      <c r="AF17" s="112">
        <v>1</v>
      </c>
      <c r="AG17" s="61"/>
      <c r="AH17" s="126">
        <f t="shared" si="26"/>
        <v>0</v>
      </c>
      <c r="AI17" s="113">
        <f t="shared" si="15"/>
        <v>0</v>
      </c>
      <c r="AJ17" s="124">
        <f t="shared" si="16"/>
        <v>0</v>
      </c>
      <c r="AK17" s="124">
        <f t="shared" si="17"/>
        <v>0</v>
      </c>
      <c r="AL17" s="113">
        <f t="shared" si="18"/>
        <v>0</v>
      </c>
      <c r="AM17" s="113">
        <f t="shared" si="19"/>
        <v>0</v>
      </c>
      <c r="AN17" s="125"/>
      <c r="AO17" s="113">
        <v>0</v>
      </c>
      <c r="AP17" s="113">
        <v>0</v>
      </c>
      <c r="AQ17" s="113">
        <v>0</v>
      </c>
      <c r="AR17" s="113">
        <v>0</v>
      </c>
      <c r="AS17" s="113">
        <v>0</v>
      </c>
      <c r="AT17" s="113">
        <v>0</v>
      </c>
      <c r="AU17" s="125"/>
      <c r="AV17" s="113">
        <v>0</v>
      </c>
      <c r="AW17" s="113">
        <v>0</v>
      </c>
      <c r="AX17" s="113">
        <v>0</v>
      </c>
      <c r="AY17" s="113">
        <v>0</v>
      </c>
      <c r="AZ17" s="113">
        <v>0</v>
      </c>
      <c r="BA17" s="113">
        <v>0</v>
      </c>
      <c r="BB17" s="125"/>
      <c r="BC17" s="113">
        <v>0</v>
      </c>
      <c r="BD17" s="113">
        <v>0</v>
      </c>
      <c r="BE17" s="113">
        <v>0</v>
      </c>
      <c r="BF17" s="113">
        <v>0</v>
      </c>
      <c r="BG17" s="113">
        <v>0</v>
      </c>
      <c r="BH17" s="114">
        <v>0</v>
      </c>
    </row>
    <row r="18" spans="2:60" x14ac:dyDescent="0.2">
      <c r="B18" s="61"/>
      <c r="C18" s="102"/>
      <c r="D18" s="83"/>
      <c r="E18" s="83"/>
      <c r="F18" s="83"/>
      <c r="G18" s="83"/>
      <c r="H18" s="83"/>
      <c r="I18" s="121"/>
      <c r="J18" s="106"/>
      <c r="K18" s="107"/>
      <c r="L18" s="127"/>
      <c r="M18" s="127"/>
      <c r="N18" s="127"/>
      <c r="O18" s="127"/>
      <c r="P18" s="127"/>
      <c r="Q18" s="118"/>
      <c r="R18" s="106"/>
      <c r="S18" s="107"/>
      <c r="T18" s="127"/>
      <c r="U18" s="127"/>
      <c r="V18" s="127"/>
      <c r="W18" s="127"/>
      <c r="X18" s="127"/>
      <c r="Y18" s="118"/>
      <c r="Z18" s="106"/>
      <c r="AA18" s="61"/>
      <c r="AB18" s="61"/>
      <c r="AC18" s="61"/>
      <c r="AD18" s="61"/>
      <c r="AE18" s="61"/>
      <c r="AF18" s="61"/>
      <c r="AG18" s="61"/>
      <c r="AH18" s="119"/>
      <c r="AI18" s="125"/>
      <c r="AJ18" s="125"/>
      <c r="AK18" s="125"/>
      <c r="AL18" s="125"/>
      <c r="AM18" s="125"/>
      <c r="AN18" s="125"/>
      <c r="AO18" s="125"/>
      <c r="AP18" s="125"/>
      <c r="AQ18" s="125"/>
      <c r="AR18" s="125"/>
      <c r="AS18" s="125"/>
      <c r="AT18" s="125"/>
      <c r="AU18" s="125"/>
      <c r="AV18" s="125"/>
      <c r="AW18" s="125"/>
      <c r="AX18" s="125"/>
      <c r="AY18" s="125"/>
      <c r="AZ18" s="125"/>
      <c r="BA18" s="125"/>
      <c r="BB18" s="125"/>
      <c r="BC18" s="125"/>
      <c r="BD18" s="125"/>
      <c r="BE18" s="125"/>
      <c r="BF18" s="125"/>
      <c r="BG18" s="125"/>
      <c r="BH18" s="120"/>
    </row>
    <row r="19" spans="2:60" ht="15" customHeight="1" x14ac:dyDescent="0.2">
      <c r="B19" s="101" t="s">
        <v>174</v>
      </c>
      <c r="C19" s="102" t="s">
        <v>7</v>
      </c>
      <c r="D19" s="103">
        <f>-(rHealthyStage1+rHealthyStage2+rHealthyStage3)</f>
        <v>-8.3381608939051138E-2</v>
      </c>
      <c r="E19" s="103">
        <f>rHealthyStage1</f>
        <v>5.2113505586906958E-2</v>
      </c>
      <c r="F19" s="103">
        <f>rHealthyStage2</f>
        <v>2.0845402234762785E-2</v>
      </c>
      <c r="G19" s="103">
        <f>rHealthyStage3</f>
        <v>1.0422701117381392E-2</v>
      </c>
      <c r="H19" s="104">
        <v>0</v>
      </c>
      <c r="I19" s="105">
        <v>0</v>
      </c>
      <c r="J19" s="106"/>
      <c r="K19" s="107" t="s">
        <v>175</v>
      </c>
      <c r="L19" s="108">
        <f>1-M19-N19-O19</f>
        <v>0.91999999999999993</v>
      </c>
      <c r="M19" s="108">
        <f>(rHealthyStage1/(rHealthyStage1+rHealthyStage2+rHealthyStage3))*(1-EXP(-(rHealthyStage1+rHealthyStage2+rHealthyStage3)))</f>
        <v>5.0000000000000044E-2</v>
      </c>
      <c r="N19" s="108">
        <f>(rHealthyStage2/(rHealthyStage1+rHealthyStage2+rHealthyStage3))*(1-EXP(-(rHealthyStage1+rHealthyStage2+rHealthyStage3)))</f>
        <v>2.0000000000000018E-2</v>
      </c>
      <c r="O19" s="108">
        <f>(rHealthyStage3/(rHealthyStage1+rHealthyStage2+rHealthyStage3))*(1-EXP(-(rHealthyStage1+rHealthyStage2+rHealthyStage3)))</f>
        <v>1.0000000000000009E-2</v>
      </c>
      <c r="P19" s="108">
        <v>0</v>
      </c>
      <c r="Q19" s="109">
        <v>0</v>
      </c>
      <c r="R19" s="106"/>
      <c r="S19" s="107" t="s">
        <v>185</v>
      </c>
      <c r="T19" s="110">
        <f>AA19+AH19+(1/FACT(2))*AO19 + (1/FACT(3))*AV19+(1/FACT(4))*BC19</f>
        <v>0.92000003312566181</v>
      </c>
      <c r="U19" s="110">
        <f t="shared" ref="U19:U24" si="27">AB19+AI19+(1/FACT(2))*AP19 + (1/FACT(3))*AW19+(1/FACT(4))*BD19</f>
        <v>4.1243938406862884E-2</v>
      </c>
      <c r="V19" s="110">
        <f t="shared" ref="V19:V24" si="28">AC19+AJ19+(1/FACT(2))*AQ19 + (1/FACT(3))*AX19+(1/FACT(4))*BE19</f>
        <v>1.8288387162071464E-2</v>
      </c>
      <c r="W19" s="110">
        <f t="shared" ref="W19:W24" si="29">AD19+AK19+(1/FACT(2))*AR19 + (1/FACT(3))*AY19+(1/FACT(4))*BF19</f>
        <v>8.6359794210279055E-3</v>
      </c>
      <c r="X19" s="110">
        <f t="shared" ref="X19:X24" si="30">AE19+AL19+(1/FACT(2))*AS19 + (1/FACT(3))*AZ19+(1/FACT(4))*BG19</f>
        <v>8.9573583125488986E-3</v>
      </c>
      <c r="Y19" s="111">
        <f t="shared" ref="Y19:Y24" si="31">AF19+AM19+(1/FACT(2))*AT19 + (1/FACT(3))*BA19+(1/FACT(4))*BH19</f>
        <v>2.8743035718271285E-3</v>
      </c>
      <c r="Z19" s="106"/>
      <c r="AA19" s="112">
        <v>1</v>
      </c>
      <c r="AB19" s="112">
        <v>0</v>
      </c>
      <c r="AC19" s="112">
        <v>0</v>
      </c>
      <c r="AD19" s="112">
        <v>0</v>
      </c>
      <c r="AE19" s="112">
        <v>0</v>
      </c>
      <c r="AF19" s="112">
        <v>0</v>
      </c>
      <c r="AG19" s="61"/>
      <c r="AH19" s="126">
        <f>D19</f>
        <v>-8.3381608939051138E-2</v>
      </c>
      <c r="AI19" s="113">
        <f t="shared" ref="AI19:AI24" si="32">E19</f>
        <v>5.2113505586906958E-2</v>
      </c>
      <c r="AJ19" s="124">
        <f t="shared" ref="AJ19:AJ24" si="33">F19</f>
        <v>2.0845402234762785E-2</v>
      </c>
      <c r="AK19" s="124">
        <f t="shared" ref="AK19:AK24" si="34">G19</f>
        <v>1.0422701117381392E-2</v>
      </c>
      <c r="AL19" s="113">
        <f t="shared" ref="AL19:AL24" si="35">H19</f>
        <v>0</v>
      </c>
      <c r="AM19" s="113">
        <f t="shared" ref="AM19:AM24" si="36">I19</f>
        <v>0</v>
      </c>
      <c r="AN19" s="125"/>
      <c r="AO19" s="113" cm="1">
        <f t="array" ref="AO19:AT24">MMULT(AH19:AM24,AH19:AM24)</f>
        <v>6.9524927092648528E-3</v>
      </c>
      <c r="AP19" s="113">
        <v>-2.5463870147915513E-2</v>
      </c>
      <c r="AQ19" s="113">
        <v>-5.2498685002006461E-3</v>
      </c>
      <c r="AR19" s="113">
        <v>-4.1003903822803816E-3</v>
      </c>
      <c r="AS19" s="113">
        <v>2.1359617017132973E-2</v>
      </c>
      <c r="AT19" s="113">
        <v>6.5020193039987129E-3</v>
      </c>
      <c r="AU19" s="125"/>
      <c r="AV19" s="113" cm="1">
        <f t="array" ref="AV19:BA24">MMULT(_xlfn.ANCHORARRAY(AO19),AH19:AM24)</f>
        <v>-5.797100282355261E-4</v>
      </c>
      <c r="AW19" s="113">
        <v>1.2806765493159749E-2</v>
      </c>
      <c r="AX19" s="113">
        <v>8.7213379241524842E-5</v>
      </c>
      <c r="AY19" s="113">
        <v>1.9089750294630455E-3</v>
      </c>
      <c r="AZ19" s="113">
        <v>-1.1665287244223308E-2</v>
      </c>
      <c r="BA19" s="113">
        <v>-2.5579566294054866E-3</v>
      </c>
      <c r="BB19" s="125"/>
      <c r="BC19" s="113" cm="1">
        <f t="array" ref="BC19:BH24">MMULT(_xlfn.ANCHORARRAY(AV19),AH19:AM24)</f>
        <v>4.8337154872380933E-5</v>
      </c>
      <c r="BD19" s="113">
        <v>-6.5302325187106772E-3</v>
      </c>
      <c r="BE19" s="113">
        <v>1.2812067408499938E-3</v>
      </c>
      <c r="BF19" s="113">
        <v>-1.3125362429712742E-3</v>
      </c>
      <c r="BG19" s="113">
        <v>5.3223442724710922E-3</v>
      </c>
      <c r="BH19" s="114">
        <v>1.1908805934884837E-3</v>
      </c>
    </row>
    <row r="20" spans="2:60" x14ac:dyDescent="0.2">
      <c r="B20" s="101" t="s">
        <v>174</v>
      </c>
      <c r="C20" s="102" t="s">
        <v>8</v>
      </c>
      <c r="D20" s="104">
        <v>0</v>
      </c>
      <c r="E20" s="103">
        <f>-(rStage1Remission+rStage1Stage2)</f>
        <v>-0.43078291609245428</v>
      </c>
      <c r="F20" s="103">
        <f>rStage1Stage2</f>
        <v>0.12308083316927264</v>
      </c>
      <c r="G20" s="104">
        <v>0</v>
      </c>
      <c r="H20" s="103">
        <f>rStage1Remission</f>
        <v>0.30770208292318163</v>
      </c>
      <c r="I20" s="105">
        <v>0</v>
      </c>
      <c r="J20" s="106"/>
      <c r="K20" s="107"/>
      <c r="L20" s="108">
        <v>0</v>
      </c>
      <c r="M20" s="108">
        <f>1-N20-P20</f>
        <v>0.65</v>
      </c>
      <c r="N20" s="108">
        <f>rStage1Stage2/(rStage1Remission+rStage1Stage2)*(1-EXP(-(rStage1Remission+rStage1Stage2)))</f>
        <v>9.9999999999999992E-2</v>
      </c>
      <c r="O20" s="108">
        <v>0</v>
      </c>
      <c r="P20" s="108">
        <f>rStage1Remission/(rStage1Remission+rStage1Stage2)*(1-EXP(-(rStage1Remission+rStage1Stage2)))</f>
        <v>0.25</v>
      </c>
      <c r="Q20" s="109">
        <f>(1-EXP(-I20))</f>
        <v>0</v>
      </c>
      <c r="R20" s="106"/>
      <c r="S20" s="107"/>
      <c r="T20" s="110">
        <f t="shared" ref="T20:T24" si="37">AA20+AH20+(1/FACT(2))*AO20 + (1/FACT(3))*AV20+(1/FACT(4))*BC20</f>
        <v>0</v>
      </c>
      <c r="U20" s="110">
        <f t="shared" si="27"/>
        <v>0.66258372512950392</v>
      </c>
      <c r="V20" s="110">
        <f t="shared" si="28"/>
        <v>8.0826275485611124E-2</v>
      </c>
      <c r="W20" s="110">
        <f t="shared" si="29"/>
        <v>7.36268403026863E-3</v>
      </c>
      <c r="X20" s="110">
        <f t="shared" si="30"/>
        <v>0.24772909214638986</v>
      </c>
      <c r="Y20" s="111">
        <f t="shared" si="31"/>
        <v>1.4982232082263714E-3</v>
      </c>
      <c r="Z20" s="106"/>
      <c r="AA20" s="112">
        <v>0</v>
      </c>
      <c r="AB20" s="112">
        <v>1</v>
      </c>
      <c r="AC20" s="112">
        <v>0</v>
      </c>
      <c r="AD20" s="112">
        <v>0</v>
      </c>
      <c r="AE20" s="112">
        <v>0</v>
      </c>
      <c r="AF20" s="112">
        <v>0</v>
      </c>
      <c r="AG20" s="61"/>
      <c r="AH20" s="126">
        <f t="shared" ref="AH20:AH24" si="38">D20</f>
        <v>0</v>
      </c>
      <c r="AI20" s="113">
        <f t="shared" si="32"/>
        <v>-0.43078291609245428</v>
      </c>
      <c r="AJ20" s="124">
        <f t="shared" si="33"/>
        <v>0.12308083316927264</v>
      </c>
      <c r="AK20" s="124">
        <f t="shared" si="34"/>
        <v>0</v>
      </c>
      <c r="AL20" s="113">
        <f t="shared" si="35"/>
        <v>0.30770208292318163</v>
      </c>
      <c r="AM20" s="113">
        <f t="shared" si="36"/>
        <v>0</v>
      </c>
      <c r="AN20" s="125"/>
      <c r="AO20" s="113">
        <v>0</v>
      </c>
      <c r="AP20" s="113">
        <v>0.21951135203233485</v>
      </c>
      <c r="AQ20" s="113">
        <v>-0.10611459142518596</v>
      </c>
      <c r="AR20" s="113">
        <v>2.3577316266499327E-2</v>
      </c>
      <c r="AS20" s="113">
        <v>-0.13697407687364818</v>
      </c>
      <c r="AT20" s="113">
        <v>0</v>
      </c>
      <c r="AU20" s="125"/>
      <c r="AV20" s="113">
        <v>0</v>
      </c>
      <c r="AW20" s="113">
        <v>-0.11294630554738773</v>
      </c>
      <c r="AX20" s="113">
        <v>7.8504644236075019E-2</v>
      </c>
      <c r="AY20" s="113">
        <v>-3.6669819928585597E-2</v>
      </c>
      <c r="AZ20" s="113">
        <v>5.6403185974133574E-2</v>
      </c>
      <c r="BA20" s="113">
        <v>1.4708295265764729E-2</v>
      </c>
      <c r="BB20" s="125"/>
      <c r="BC20" s="113">
        <v>0</v>
      </c>
      <c r="BD20" s="113">
        <v>5.8448387128532786E-2</v>
      </c>
      <c r="BE20" s="113">
        <v>-5.4752864249945216E-2</v>
      </c>
      <c r="BF20" s="113">
        <v>4.0455901242797576E-2</v>
      </c>
      <c r="BG20" s="113">
        <v>-2.1275600055759149E-2</v>
      </c>
      <c r="BH20" s="114">
        <v>-2.2875824065626001E-2</v>
      </c>
    </row>
    <row r="21" spans="2:60" x14ac:dyDescent="0.2">
      <c r="B21" s="101" t="s">
        <v>174</v>
      </c>
      <c r="C21" s="102" t="s">
        <v>9</v>
      </c>
      <c r="D21" s="104">
        <v>0</v>
      </c>
      <c r="E21" s="103">
        <f>rStage2Stage1</f>
        <v>6.385320297074884E-2</v>
      </c>
      <c r="F21" s="103">
        <f>-(rStage2Remission+rStage2Stage1+rStage2Stage3)</f>
        <v>-0.51082562376599072</v>
      </c>
      <c r="G21" s="103">
        <f>rStage2Stage3</f>
        <v>0.19155960891224652</v>
      </c>
      <c r="H21" s="103">
        <f>rStage2Remission</f>
        <v>0.25541281188299536</v>
      </c>
      <c r="I21" s="105">
        <v>0</v>
      </c>
      <c r="J21" s="106"/>
      <c r="K21" s="107"/>
      <c r="L21" s="108">
        <v>0</v>
      </c>
      <c r="M21" s="108">
        <f>rStage2Stage1/(rStage2Stage1+rStage2Stage3+rStage2Remission)*(1-EXP(-(rStage2Stage1+rStage2Stage3+rStage2Remission)))</f>
        <v>0.05</v>
      </c>
      <c r="N21" s="108">
        <f>1-M21-O21-P21</f>
        <v>0.59999999999999987</v>
      </c>
      <c r="O21" s="108">
        <f>rStage2Stage3/(rStage2Stage1+rStage2Stage3+rStage2Remission)*(1-EXP(-(rStage2Stage1+rStage2Stage3+rStage2Remission)))</f>
        <v>0.15000000000000002</v>
      </c>
      <c r="P21" s="108">
        <f>rStage2Remission/(rStage2Stage1+rStage2Stage3+rStage2Remission)*(1-EXP(-(rStage2Stage1+rStage2Stage3+rStage2Remission)))</f>
        <v>0.2</v>
      </c>
      <c r="Q21" s="109">
        <v>0</v>
      </c>
      <c r="R21" s="106"/>
      <c r="S21" s="107"/>
      <c r="T21" s="110">
        <f t="shared" si="37"/>
        <v>0</v>
      </c>
      <c r="U21" s="110">
        <f t="shared" si="27"/>
        <v>4.7879412213737732E-2</v>
      </c>
      <c r="V21" s="110">
        <f t="shared" si="28"/>
        <v>0.60990467417815319</v>
      </c>
      <c r="W21" s="110">
        <f t="shared" si="29"/>
        <v>0.10454529095586357</v>
      </c>
      <c r="X21" s="110">
        <f t="shared" si="30"/>
        <v>0.19629915931842187</v>
      </c>
      <c r="Y21" s="111">
        <f t="shared" si="31"/>
        <v>4.1371463333823598E-2</v>
      </c>
      <c r="Z21" s="106"/>
      <c r="AA21" s="112">
        <v>0</v>
      </c>
      <c r="AB21" s="112">
        <v>0</v>
      </c>
      <c r="AC21" s="112">
        <v>1</v>
      </c>
      <c r="AD21" s="112">
        <v>0</v>
      </c>
      <c r="AE21" s="112">
        <v>0</v>
      </c>
      <c r="AF21" s="112">
        <v>0</v>
      </c>
      <c r="AG21" s="61"/>
      <c r="AH21" s="126">
        <f t="shared" si="38"/>
        <v>0</v>
      </c>
      <c r="AI21" s="113">
        <f t="shared" si="32"/>
        <v>6.385320297074884E-2</v>
      </c>
      <c r="AJ21" s="124">
        <f t="shared" si="33"/>
        <v>-0.51082562376599072</v>
      </c>
      <c r="AK21" s="124">
        <f t="shared" si="34"/>
        <v>0.19155960891224652</v>
      </c>
      <c r="AL21" s="113">
        <f t="shared" si="35"/>
        <v>0.25541281188299536</v>
      </c>
      <c r="AM21" s="113">
        <f t="shared" si="36"/>
        <v>0</v>
      </c>
      <c r="AN21" s="125"/>
      <c r="AO21" s="113">
        <v>0</v>
      </c>
      <c r="AP21" s="113">
        <v>-3.8478008713198009E-2</v>
      </c>
      <c r="AQ21" s="113">
        <v>0.29019734078876408</v>
      </c>
      <c r="AR21" s="113">
        <v>-0.23063255953765702</v>
      </c>
      <c r="AS21" s="113">
        <v>-0.14058787508192952</v>
      </c>
      <c r="AT21" s="113">
        <v>0.11950110254402049</v>
      </c>
      <c r="AU21" s="125"/>
      <c r="AV21" s="113">
        <v>0</v>
      </c>
      <c r="AW21" s="113">
        <v>2.3190613699959013E-2</v>
      </c>
      <c r="AX21" s="113">
        <v>-0.17343053063436464</v>
      </c>
      <c r="AY21" s="113">
        <v>0.21545239749772027</v>
      </c>
      <c r="AZ21" s="113">
        <v>7.8663596986650972E-2</v>
      </c>
      <c r="BA21" s="113">
        <v>-0.14387607754996562</v>
      </c>
      <c r="BB21" s="125"/>
      <c r="BC21" s="113">
        <v>0</v>
      </c>
      <c r="BD21" s="113">
        <v>-1.4397328409726649E-2</v>
      </c>
      <c r="BE21" s="113">
        <v>0.10888118373174485</v>
      </c>
      <c r="BF21" s="113">
        <v>-0.18256250649218769</v>
      </c>
      <c r="BG21" s="113">
        <v>-4.6327548513213385E-2</v>
      </c>
      <c r="BH21" s="114">
        <v>0.13440619968338288</v>
      </c>
    </row>
    <row r="22" spans="2:60" x14ac:dyDescent="0.2">
      <c r="B22" s="101" t="s">
        <v>174</v>
      </c>
      <c r="C22" s="102" t="s">
        <v>10</v>
      </c>
      <c r="D22" s="104">
        <v>0</v>
      </c>
      <c r="E22" s="104">
        <v>0</v>
      </c>
      <c r="F22" s="103">
        <f>rStage3Stage2</f>
        <v>6.9314718055994526E-2</v>
      </c>
      <c r="G22" s="103">
        <f>-(rStage3Death+rStage3Stage2)</f>
        <v>-0.69314718055994529</v>
      </c>
      <c r="H22" s="104">
        <v>0</v>
      </c>
      <c r="I22" s="115">
        <f>rStage3Death</f>
        <v>0.62383246250395075</v>
      </c>
      <c r="J22" s="106"/>
      <c r="K22" s="107"/>
      <c r="L22" s="108">
        <v>0</v>
      </c>
      <c r="M22" s="108">
        <v>0</v>
      </c>
      <c r="N22" s="108">
        <f>rStage3Stage2/(rStage3Death+rStage3Stage2)*(1-EXP(-(rStage3Death+rStage3Stage2)))</f>
        <v>4.9999999999999996E-2</v>
      </c>
      <c r="O22" s="108">
        <f>1-N22-Q22</f>
        <v>0.49999999999999994</v>
      </c>
      <c r="P22" s="108">
        <v>0</v>
      </c>
      <c r="Q22" s="109">
        <f>rStage3Death/(rStage3Death+rStage3Stage2)*(1-EXP(-(rStage3Death+rStage3Stage2)))</f>
        <v>0.45</v>
      </c>
      <c r="R22" s="106"/>
      <c r="S22" s="107"/>
      <c r="T22" s="110">
        <f t="shared" si="37"/>
        <v>0</v>
      </c>
      <c r="U22" s="110">
        <f t="shared" si="27"/>
        <v>1.4897689061954733E-3</v>
      </c>
      <c r="V22" s="110">
        <f t="shared" si="28"/>
        <v>3.7829098774195317E-2</v>
      </c>
      <c r="W22" s="110">
        <f t="shared" si="29"/>
        <v>0.50498376199562245</v>
      </c>
      <c r="X22" s="110">
        <f t="shared" si="30"/>
        <v>6.0456097866646054E-3</v>
      </c>
      <c r="Y22" s="111">
        <f t="shared" si="31"/>
        <v>0.44965176053732209</v>
      </c>
      <c r="Z22" s="106"/>
      <c r="AA22" s="112">
        <v>0</v>
      </c>
      <c r="AB22" s="112">
        <v>0</v>
      </c>
      <c r="AC22" s="112">
        <v>0</v>
      </c>
      <c r="AD22" s="112">
        <v>1</v>
      </c>
      <c r="AE22" s="112">
        <v>0</v>
      </c>
      <c r="AF22" s="112">
        <v>0</v>
      </c>
      <c r="AG22" s="61"/>
      <c r="AH22" s="126">
        <f t="shared" si="38"/>
        <v>0</v>
      </c>
      <c r="AI22" s="113">
        <f t="shared" si="32"/>
        <v>0</v>
      </c>
      <c r="AJ22" s="124">
        <f t="shared" si="33"/>
        <v>6.9314718055994526E-2</v>
      </c>
      <c r="AK22" s="124">
        <f t="shared" si="34"/>
        <v>-0.69314718055994529</v>
      </c>
      <c r="AL22" s="113">
        <f t="shared" si="35"/>
        <v>0</v>
      </c>
      <c r="AM22" s="113">
        <f t="shared" si="36"/>
        <v>0.62383246250395075</v>
      </c>
      <c r="AN22" s="125"/>
      <c r="AO22" s="113">
        <v>0</v>
      </c>
      <c r="AP22" s="113">
        <v>4.4259667608896481E-3</v>
      </c>
      <c r="AQ22" s="113">
        <v>-8.3453035478937315E-2</v>
      </c>
      <c r="AR22" s="113">
        <v>0.49373091420087034</v>
      </c>
      <c r="AS22" s="113">
        <v>1.7703867043558592E-2</v>
      </c>
      <c r="AT22" s="113">
        <v>-0.43240771252638127</v>
      </c>
      <c r="AU22" s="125"/>
      <c r="AV22" s="113">
        <v>0</v>
      </c>
      <c r="AW22" s="113">
        <v>-5.7349387068741133E-3</v>
      </c>
      <c r="AX22" s="113">
        <v>7.7960183108767026E-2</v>
      </c>
      <c r="AY22" s="113">
        <v>-0.35821442197250258</v>
      </c>
      <c r="AZ22" s="113">
        <v>-2.2016194449646094E-2</v>
      </c>
      <c r="BA22" s="113">
        <v>0.3080053720202558</v>
      </c>
      <c r="BB22" s="125"/>
      <c r="BC22" s="113">
        <v>0</v>
      </c>
      <c r="BD22" s="113">
        <v>5.5826074455120334E-3</v>
      </c>
      <c r="BE22" s="113">
        <v>-6.6059169451001432E-2</v>
      </c>
      <c r="BF22" s="113">
        <v>0.26322933881319321</v>
      </c>
      <c r="BG22" s="113">
        <v>2.0713008155831797E-2</v>
      </c>
      <c r="BH22" s="114">
        <v>-0.22346578496353561</v>
      </c>
    </row>
    <row r="23" spans="2:60" x14ac:dyDescent="0.2">
      <c r="B23" s="101" t="s">
        <v>174</v>
      </c>
      <c r="C23" s="102" t="s">
        <v>11</v>
      </c>
      <c r="D23" s="104">
        <v>0</v>
      </c>
      <c r="E23" s="103">
        <f>rRemissionStage1*hrRemissionStage1_trtB</f>
        <v>8.4751866367964723E-2</v>
      </c>
      <c r="F23" s="103">
        <f>rRemissionStage2*hrRemissionStage2_trtB</f>
        <v>3.1781949887986771E-2</v>
      </c>
      <c r="G23" s="104">
        <v>0</v>
      </c>
      <c r="H23" s="103">
        <f>-(hrRemissionStage1_trtB*rRemissionStage1+hrRemissionStage2_trtB*rRemissionStage2)</f>
        <v>-0.11653381625595149</v>
      </c>
      <c r="I23" s="105">
        <v>0</v>
      </c>
      <c r="J23" s="106"/>
      <c r="K23" s="107"/>
      <c r="L23" s="108">
        <v>0</v>
      </c>
      <c r="M23" s="108">
        <f>E23/(E23+F23)*(1-EXP(-(E23+F23)))</f>
        <v>7.9999999999999988E-2</v>
      </c>
      <c r="N23" s="108">
        <f>F23/(E23+F23)*(1-EXP(-(E23+F23)))</f>
        <v>2.9999999999999995E-2</v>
      </c>
      <c r="O23" s="108">
        <v>0</v>
      </c>
      <c r="P23" s="108">
        <f>1-M23-N23</f>
        <v>0.89</v>
      </c>
      <c r="Q23" s="109">
        <v>0</v>
      </c>
      <c r="R23" s="106"/>
      <c r="S23" s="107"/>
      <c r="T23" s="110">
        <f t="shared" si="37"/>
        <v>0</v>
      </c>
      <c r="U23" s="110">
        <f t="shared" si="27"/>
        <v>6.5854222849500058E-2</v>
      </c>
      <c r="V23" s="110">
        <f t="shared" si="28"/>
        <v>2.7292254316024039E-2</v>
      </c>
      <c r="W23" s="110">
        <f t="shared" si="29"/>
        <v>2.2223542345931957E-3</v>
      </c>
      <c r="X23" s="110">
        <f t="shared" si="30"/>
        <v>0.90415520141146533</v>
      </c>
      <c r="Y23" s="111">
        <f t="shared" si="31"/>
        <v>4.7596718841737924E-4</v>
      </c>
      <c r="Z23" s="106"/>
      <c r="AA23" s="112">
        <v>0</v>
      </c>
      <c r="AB23" s="112">
        <v>0</v>
      </c>
      <c r="AC23" s="112">
        <v>0</v>
      </c>
      <c r="AD23" s="112">
        <v>0</v>
      </c>
      <c r="AE23" s="112">
        <v>1</v>
      </c>
      <c r="AF23" s="112">
        <v>0</v>
      </c>
      <c r="AG23" s="61"/>
      <c r="AH23" s="126">
        <f t="shared" si="38"/>
        <v>0</v>
      </c>
      <c r="AI23" s="113">
        <f t="shared" si="32"/>
        <v>8.4751866367964723E-2</v>
      </c>
      <c r="AJ23" s="124">
        <f t="shared" si="33"/>
        <v>3.1781949887986771E-2</v>
      </c>
      <c r="AK23" s="124">
        <f t="shared" si="34"/>
        <v>0</v>
      </c>
      <c r="AL23" s="113">
        <f t="shared" si="35"/>
        <v>-0.11653381625595149</v>
      </c>
      <c r="AM23" s="113">
        <f t="shared" si="36"/>
        <v>0</v>
      </c>
      <c r="AN23" s="125"/>
      <c r="AO23" s="113">
        <v>0</v>
      </c>
      <c r="AP23" s="113">
        <v>-4.435673526393942E-2</v>
      </c>
      <c r="AQ23" s="113">
        <v>-9.5073759593128568E-3</v>
      </c>
      <c r="AR23" s="113">
        <v>6.0881378910113632E-3</v>
      </c>
      <c r="AS23" s="113">
        <v>4.7775973332240908E-2</v>
      </c>
      <c r="AT23" s="113">
        <v>0</v>
      </c>
      <c r="AU23" s="125"/>
      <c r="AV23" s="113">
        <v>0</v>
      </c>
      <c r="AW23" s="113">
        <v>2.2550150265945128E-2</v>
      </c>
      <c r="AX23" s="113">
        <v>1.3375584735357971E-3</v>
      </c>
      <c r="AY23" s="113">
        <v>-6.0412048345623633E-3</v>
      </c>
      <c r="AZ23" s="113">
        <v>-2.164448195753179E-2</v>
      </c>
      <c r="BA23" s="113">
        <v>3.797978052613228E-3</v>
      </c>
      <c r="BB23" s="125"/>
      <c r="BC23" s="113">
        <v>0</v>
      </c>
      <c r="BD23" s="113">
        <v>-1.1463222339659506E-2</v>
      </c>
      <c r="BE23" s="113">
        <v>9.855838905055011E-4</v>
      </c>
      <c r="BF23" s="113">
        <v>4.4436662763497909E-3</v>
      </c>
      <c r="BG23" s="113">
        <v>9.8026718612400261E-3</v>
      </c>
      <c r="BH23" s="114">
        <v>-3.7686996884358113E-3</v>
      </c>
    </row>
    <row r="24" spans="2:60" x14ac:dyDescent="0.2">
      <c r="B24" s="101" t="s">
        <v>174</v>
      </c>
      <c r="C24" s="102" t="s">
        <v>12</v>
      </c>
      <c r="D24" s="104">
        <v>0</v>
      </c>
      <c r="E24" s="104">
        <v>0</v>
      </c>
      <c r="F24" s="104">
        <v>0</v>
      </c>
      <c r="G24" s="104">
        <v>0</v>
      </c>
      <c r="H24" s="104">
        <v>0</v>
      </c>
      <c r="I24" s="115">
        <v>0</v>
      </c>
      <c r="J24" s="106"/>
      <c r="K24" s="107"/>
      <c r="L24" s="108">
        <v>0</v>
      </c>
      <c r="M24" s="108">
        <v>0</v>
      </c>
      <c r="N24" s="108">
        <v>0</v>
      </c>
      <c r="O24" s="108">
        <v>0</v>
      </c>
      <c r="P24" s="108">
        <v>0</v>
      </c>
      <c r="Q24" s="109">
        <v>1</v>
      </c>
      <c r="R24" s="106"/>
      <c r="S24" s="107"/>
      <c r="T24" s="110">
        <f t="shared" si="37"/>
        <v>0</v>
      </c>
      <c r="U24" s="110">
        <f t="shared" si="27"/>
        <v>0</v>
      </c>
      <c r="V24" s="110">
        <f t="shared" si="28"/>
        <v>0</v>
      </c>
      <c r="W24" s="110">
        <f t="shared" si="29"/>
        <v>0</v>
      </c>
      <c r="X24" s="110">
        <f t="shared" si="30"/>
        <v>0</v>
      </c>
      <c r="Y24" s="111">
        <f t="shared" si="31"/>
        <v>1</v>
      </c>
      <c r="Z24" s="106"/>
      <c r="AA24" s="112">
        <v>0</v>
      </c>
      <c r="AB24" s="112">
        <v>0</v>
      </c>
      <c r="AC24" s="112">
        <v>0</v>
      </c>
      <c r="AD24" s="112">
        <v>0</v>
      </c>
      <c r="AE24" s="112">
        <v>0</v>
      </c>
      <c r="AF24" s="112">
        <v>1</v>
      </c>
      <c r="AG24" s="61"/>
      <c r="AH24" s="126">
        <f t="shared" si="38"/>
        <v>0</v>
      </c>
      <c r="AI24" s="113">
        <f t="shared" si="32"/>
        <v>0</v>
      </c>
      <c r="AJ24" s="124">
        <f t="shared" si="33"/>
        <v>0</v>
      </c>
      <c r="AK24" s="124">
        <f t="shared" si="34"/>
        <v>0</v>
      </c>
      <c r="AL24" s="113">
        <f t="shared" si="35"/>
        <v>0</v>
      </c>
      <c r="AM24" s="113">
        <f t="shared" si="36"/>
        <v>0</v>
      </c>
      <c r="AN24" s="125"/>
      <c r="AO24" s="113">
        <v>0</v>
      </c>
      <c r="AP24" s="113">
        <v>0</v>
      </c>
      <c r="AQ24" s="113">
        <v>0</v>
      </c>
      <c r="AR24" s="113">
        <v>0</v>
      </c>
      <c r="AS24" s="113">
        <v>0</v>
      </c>
      <c r="AT24" s="113">
        <v>0</v>
      </c>
      <c r="AU24" s="125"/>
      <c r="AV24" s="113">
        <v>0</v>
      </c>
      <c r="AW24" s="113">
        <v>0</v>
      </c>
      <c r="AX24" s="113">
        <v>0</v>
      </c>
      <c r="AY24" s="113">
        <v>0</v>
      </c>
      <c r="AZ24" s="113">
        <v>0</v>
      </c>
      <c r="BA24" s="113">
        <v>0</v>
      </c>
      <c r="BB24" s="125"/>
      <c r="BC24" s="113">
        <v>0</v>
      </c>
      <c r="BD24" s="113">
        <v>0</v>
      </c>
      <c r="BE24" s="113">
        <v>0</v>
      </c>
      <c r="BF24" s="113">
        <v>0</v>
      </c>
      <c r="BG24" s="113">
        <v>0</v>
      </c>
      <c r="BH24" s="114">
        <v>0</v>
      </c>
    </row>
    <row r="25" spans="2:60" x14ac:dyDescent="0.2">
      <c r="B25" s="61"/>
      <c r="C25" s="122"/>
      <c r="D25" s="83"/>
      <c r="E25" s="83"/>
      <c r="F25" s="83"/>
      <c r="G25" s="83"/>
      <c r="H25" s="83"/>
      <c r="I25" s="121"/>
      <c r="J25" s="106"/>
      <c r="K25" s="107"/>
      <c r="L25" s="127"/>
      <c r="M25" s="127"/>
      <c r="N25" s="127"/>
      <c r="O25" s="127"/>
      <c r="P25" s="127"/>
      <c r="Q25" s="118"/>
      <c r="R25" s="106"/>
      <c r="S25" s="107"/>
      <c r="T25" s="127"/>
      <c r="U25" s="127"/>
      <c r="V25" s="127"/>
      <c r="W25" s="127"/>
      <c r="X25" s="127"/>
      <c r="Y25" s="118"/>
      <c r="Z25" s="106"/>
      <c r="AA25" s="61"/>
      <c r="AB25" s="61"/>
      <c r="AC25" s="61"/>
      <c r="AD25" s="61"/>
      <c r="AE25" s="61"/>
      <c r="AF25" s="61"/>
      <c r="AG25" s="61"/>
      <c r="AH25" s="119"/>
      <c r="AI25" s="125"/>
      <c r="AJ25" s="125"/>
      <c r="AK25" s="125"/>
      <c r="AL25" s="125"/>
      <c r="AM25" s="125"/>
      <c r="AN25" s="125"/>
      <c r="AO25" s="125"/>
      <c r="AP25" s="125"/>
      <c r="AQ25" s="125"/>
      <c r="AR25" s="125"/>
      <c r="AS25" s="125"/>
      <c r="AT25" s="125"/>
      <c r="AU25" s="125"/>
      <c r="AV25" s="125"/>
      <c r="AW25" s="125"/>
      <c r="AX25" s="125"/>
      <c r="AY25" s="125"/>
      <c r="AZ25" s="125"/>
      <c r="BA25" s="125"/>
      <c r="BB25" s="125"/>
      <c r="BC25" s="125"/>
      <c r="BD25" s="125"/>
      <c r="BE25" s="125"/>
      <c r="BF25" s="125"/>
      <c r="BG25" s="125"/>
      <c r="BH25" s="120"/>
    </row>
    <row r="26" spans="2:60" ht="16" customHeight="1" x14ac:dyDescent="0.2">
      <c r="B26" s="101" t="s">
        <v>176</v>
      </c>
      <c r="C26" s="102" t="s">
        <v>7</v>
      </c>
      <c r="D26" s="103">
        <f>-(rHealthyStage1+rHealthyStage2+rHealthyStage3)</f>
        <v>-8.3381608939051138E-2</v>
      </c>
      <c r="E26" s="103">
        <f>rHealthyStage1</f>
        <v>5.2113505586906958E-2</v>
      </c>
      <c r="F26" s="103">
        <f>rHealthyStage2</f>
        <v>2.0845402234762785E-2</v>
      </c>
      <c r="G26" s="103">
        <f>rHealthyStage3</f>
        <v>1.0422701117381392E-2</v>
      </c>
      <c r="H26" s="104">
        <v>0</v>
      </c>
      <c r="I26" s="105">
        <v>0</v>
      </c>
      <c r="J26" s="106"/>
      <c r="K26" s="107" t="s">
        <v>177</v>
      </c>
      <c r="L26" s="108">
        <f>1-M26-N26-O26</f>
        <v>0.91999999999999993</v>
      </c>
      <c r="M26" s="108">
        <f>(rHealthyStage1/(rHealthyStage1+rHealthyStage2+rHealthyStage3))*(1-EXP(-(rHealthyStage1+rHealthyStage2+rHealthyStage3)))</f>
        <v>5.0000000000000044E-2</v>
      </c>
      <c r="N26" s="108">
        <f>(rHealthyStage2/(rHealthyStage1+rHealthyStage2+rHealthyStage3))*(1-EXP(-(rHealthyStage1+rHealthyStage2+rHealthyStage3)))</f>
        <v>2.0000000000000018E-2</v>
      </c>
      <c r="O26" s="108">
        <f>(rHealthyStage3/(rHealthyStage1+rHealthyStage2+rHealthyStage3))*(1-EXP(-(rHealthyStage1+rHealthyStage2+rHealthyStage3)))</f>
        <v>1.0000000000000009E-2</v>
      </c>
      <c r="P26" s="108">
        <v>0</v>
      </c>
      <c r="Q26" s="109">
        <v>0</v>
      </c>
      <c r="R26" s="106"/>
      <c r="S26" s="107" t="s">
        <v>186</v>
      </c>
      <c r="T26" s="110">
        <f>AA26+AH26+(1/FACT(2))*AO26 + (1/FACT(3))*AV26+(1/FACT(4))*BC26</f>
        <v>0.92000003312566181</v>
      </c>
      <c r="U26" s="110">
        <f t="shared" ref="U26:U31" si="39">AB26+AI26+(1/FACT(2))*AP26 + (1/FACT(3))*AW26+(1/FACT(4))*BD26</f>
        <v>4.1156779433542186E-2</v>
      </c>
      <c r="V26" s="110">
        <f t="shared" ref="V26:V31" si="40">AC26+AJ26+(1/FACT(2))*AQ26 + (1/FACT(3))*AX26+(1/FACT(4))*BE26</f>
        <v>1.8256656708182918E-2</v>
      </c>
      <c r="W26" s="110">
        <f t="shared" ref="W26:W31" si="41">AD26+AK26+(1/FACT(2))*AR26 + (1/FACT(3))*AY26+(1/FACT(4))*BF26</f>
        <v>8.6340959938034072E-3</v>
      </c>
      <c r="X26" s="110">
        <f t="shared" ref="X26:X31" si="42">AE26+AL26+(1/FACT(2))*AS26 + (1/FACT(3))*AZ26+(1/FACT(4))*BG26</f>
        <v>9.0781311669826375E-3</v>
      </c>
      <c r="Y26" s="111">
        <f t="shared" ref="Y26:Y31" si="43">AF26+AM26+(1/FACT(2))*AT26 + (1/FACT(3))*BA26+(1/FACT(4))*BH26</f>
        <v>2.8743035718271285E-3</v>
      </c>
      <c r="Z26" s="106"/>
      <c r="AA26" s="112">
        <v>1</v>
      </c>
      <c r="AB26" s="112">
        <v>0</v>
      </c>
      <c r="AC26" s="112">
        <v>0</v>
      </c>
      <c r="AD26" s="112">
        <v>0</v>
      </c>
      <c r="AE26" s="112">
        <v>0</v>
      </c>
      <c r="AF26" s="112">
        <v>0</v>
      </c>
      <c r="AG26" s="61"/>
      <c r="AH26" s="126">
        <f>D26</f>
        <v>-8.3381608939051138E-2</v>
      </c>
      <c r="AI26" s="113">
        <f t="shared" ref="AI26:AI31" si="44">E26</f>
        <v>5.2113505586906958E-2</v>
      </c>
      <c r="AJ26" s="124">
        <f t="shared" ref="AJ26:AJ31" si="45">F26</f>
        <v>2.0845402234762785E-2</v>
      </c>
      <c r="AK26" s="124">
        <f t="shared" ref="AK26:AK31" si="46">G26</f>
        <v>1.0422701117381392E-2</v>
      </c>
      <c r="AL26" s="113">
        <f t="shared" ref="AL26:AL31" si="47">H26</f>
        <v>0</v>
      </c>
      <c r="AM26" s="113">
        <f t="shared" ref="AM26:AM31" si="48">I26</f>
        <v>0</v>
      </c>
      <c r="AN26" s="125"/>
      <c r="AO26" s="113" cm="1">
        <f t="array" ref="AO26:AT31">MMULT(AH26:AM31,AH26:AM31)</f>
        <v>6.9524927092648528E-3</v>
      </c>
      <c r="AP26" s="113">
        <v>-2.5463870147915513E-2</v>
      </c>
      <c r="AQ26" s="113">
        <v>-5.2498685002006461E-3</v>
      </c>
      <c r="AR26" s="113">
        <v>-4.1003903822803816E-3</v>
      </c>
      <c r="AS26" s="113">
        <v>2.1359617017132973E-2</v>
      </c>
      <c r="AT26" s="113">
        <v>6.5020193039987129E-3</v>
      </c>
      <c r="AU26" s="125"/>
      <c r="AV26" s="113" cm="1">
        <f t="array" ref="AV26:BA31">MMULT(_xlfn.ANCHORARRAY(AO26),AH26:AM31)</f>
        <v>-5.797100282355261E-4</v>
      </c>
      <c r="AW26" s="113">
        <v>1.2103699661495706E-2</v>
      </c>
      <c r="AX26" s="113">
        <v>-1.487562682464184E-4</v>
      </c>
      <c r="AY26" s="113">
        <v>1.9089750294630455E-3</v>
      </c>
      <c r="AZ26" s="113">
        <v>-1.0726251765071321E-2</v>
      </c>
      <c r="BA26" s="113">
        <v>-2.5579566294054866E-3</v>
      </c>
      <c r="BB26" s="125"/>
      <c r="BC26" s="113" cm="1">
        <f t="array" ref="BC26:BH31">MMULT(_xlfn.ANCHORARRAY(AV26),AH26:AM31)</f>
        <v>4.8337154872380933E-5</v>
      </c>
      <c r="BD26" s="113">
        <v>-5.8097845517511935E-3</v>
      </c>
      <c r="BE26" s="113">
        <v>1.4635544374766525E-3</v>
      </c>
      <c r="BF26" s="113">
        <v>-1.3577384963592252E-3</v>
      </c>
      <c r="BG26" s="113">
        <v>4.4647508622729015E-3</v>
      </c>
      <c r="BH26" s="114">
        <v>1.1908805934884837E-3</v>
      </c>
    </row>
    <row r="27" spans="2:60" ht="16" customHeight="1" x14ac:dyDescent="0.2">
      <c r="B27" s="101" t="s">
        <v>176</v>
      </c>
      <c r="C27" s="102" t="s">
        <v>8</v>
      </c>
      <c r="D27" s="104">
        <v>0</v>
      </c>
      <c r="E27" s="103">
        <f>-(rStage1Remission+rStage1Stage2)</f>
        <v>-0.43078291609245428</v>
      </c>
      <c r="F27" s="103">
        <f>rStage1Stage2</f>
        <v>0.12308083316927264</v>
      </c>
      <c r="G27" s="104">
        <v>0</v>
      </c>
      <c r="H27" s="103">
        <f>rStage1Remission</f>
        <v>0.30770208292318163</v>
      </c>
      <c r="I27" s="105">
        <v>0</v>
      </c>
      <c r="J27" s="106"/>
      <c r="K27" s="107"/>
      <c r="L27" s="108">
        <v>0</v>
      </c>
      <c r="M27" s="108">
        <f>1-N27-P27</f>
        <v>0.65</v>
      </c>
      <c r="N27" s="108">
        <f>rStage1Stage2/(rStage1Remission+rStage1Stage2)*(1-EXP(-(rStage1Remission+rStage1Stage2)))</f>
        <v>9.9999999999999992E-2</v>
      </c>
      <c r="O27" s="108">
        <v>0</v>
      </c>
      <c r="P27" s="108">
        <f>rStage1Remission/(rStage1Remission+rStage1Stage2)*(1-EXP(-(rStage1Remission+rStage1Stage2)))</f>
        <v>0.25</v>
      </c>
      <c r="Q27" s="109">
        <f>(1-EXP(-I27))</f>
        <v>0</v>
      </c>
      <c r="R27" s="106"/>
      <c r="S27" s="107"/>
      <c r="T27" s="110">
        <f t="shared" ref="T27:T31" si="49">AA27+AH27+(1/FACT(2))*AO27 + (1/FACT(3))*AV27+(1/FACT(4))*BC27</f>
        <v>0</v>
      </c>
      <c r="U27" s="110">
        <f t="shared" si="39"/>
        <v>0.65881597555886895</v>
      </c>
      <c r="V27" s="110">
        <f t="shared" si="40"/>
        <v>7.9469246278086783E-2</v>
      </c>
      <c r="W27" s="110">
        <f t="shared" si="41"/>
        <v>7.2911883913273547E-3</v>
      </c>
      <c r="X27" s="110">
        <f t="shared" si="42"/>
        <v>0.25294229254214828</v>
      </c>
      <c r="Y27" s="111">
        <f t="shared" si="43"/>
        <v>1.4812972295685147E-3</v>
      </c>
      <c r="Z27" s="106"/>
      <c r="AA27" s="112">
        <v>0</v>
      </c>
      <c r="AB27" s="112">
        <v>1</v>
      </c>
      <c r="AC27" s="112">
        <v>0</v>
      </c>
      <c r="AD27" s="112">
        <v>0</v>
      </c>
      <c r="AE27" s="112">
        <v>0</v>
      </c>
      <c r="AF27" s="112">
        <v>0</v>
      </c>
      <c r="AG27" s="61"/>
      <c r="AH27" s="126">
        <f t="shared" ref="AH27:AH31" si="50">D27</f>
        <v>0</v>
      </c>
      <c r="AI27" s="113">
        <f t="shared" si="44"/>
        <v>-0.43078291609245428</v>
      </c>
      <c r="AJ27" s="124">
        <f t="shared" si="45"/>
        <v>0.12308083316927264</v>
      </c>
      <c r="AK27" s="124">
        <f t="shared" si="46"/>
        <v>0</v>
      </c>
      <c r="AL27" s="113">
        <f t="shared" si="47"/>
        <v>0.30770208292318163</v>
      </c>
      <c r="AM27" s="113">
        <f t="shared" si="48"/>
        <v>0</v>
      </c>
      <c r="AN27" s="125"/>
      <c r="AO27" s="113">
        <v>0</v>
      </c>
      <c r="AP27" s="113">
        <v>0.20938313575104017</v>
      </c>
      <c r="AQ27" s="113">
        <v>-0.10951391979237758</v>
      </c>
      <c r="AR27" s="113">
        <v>2.3577316266499327E-2</v>
      </c>
      <c r="AS27" s="113">
        <v>-0.12344653222516189</v>
      </c>
      <c r="AT27" s="113">
        <v>0</v>
      </c>
      <c r="AU27" s="125"/>
      <c r="AV27" s="113">
        <v>0</v>
      </c>
      <c r="AW27" s="113">
        <v>-0.1035904926134959</v>
      </c>
      <c r="AX27" s="113">
        <v>8.0788222112180064E-2</v>
      </c>
      <c r="AY27" s="113">
        <v>-3.7320993941169125E-2</v>
      </c>
      <c r="AZ27" s="113">
        <v>4.5414969176720228E-2</v>
      </c>
      <c r="BA27" s="113">
        <v>1.4708295265764729E-2</v>
      </c>
      <c r="BB27" s="125"/>
      <c r="BC27" s="113">
        <v>0</v>
      </c>
      <c r="BD27" s="113">
        <v>5.2137741073261502E-2</v>
      </c>
      <c r="BE27" s="113">
        <v>-5.5663936328649494E-2</v>
      </c>
      <c r="BF27" s="113">
        <v>4.1344701958541098E-2</v>
      </c>
      <c r="BG27" s="113">
        <v>-1.4536459149738543E-2</v>
      </c>
      <c r="BH27" s="114">
        <v>-2.3282047553414561E-2</v>
      </c>
    </row>
    <row r="28" spans="2:60" ht="16" customHeight="1" x14ac:dyDescent="0.2">
      <c r="B28" s="101" t="s">
        <v>176</v>
      </c>
      <c r="C28" s="102" t="s">
        <v>9</v>
      </c>
      <c r="D28" s="104">
        <v>0</v>
      </c>
      <c r="E28" s="103">
        <f>rStage2Stage1</f>
        <v>6.385320297074884E-2</v>
      </c>
      <c r="F28" s="103">
        <f>-(rStage2Remission+rStage2Stage1+rStage2Stage3)</f>
        <v>-0.51082562376599072</v>
      </c>
      <c r="G28" s="103">
        <f>rStage2Stage3</f>
        <v>0.19155960891224652</v>
      </c>
      <c r="H28" s="103">
        <f>rStage2Remission</f>
        <v>0.25541281188299536</v>
      </c>
      <c r="I28" s="105">
        <v>0</v>
      </c>
      <c r="J28" s="106"/>
      <c r="K28" s="107"/>
      <c r="L28" s="108">
        <v>0</v>
      </c>
      <c r="M28" s="108">
        <f>rStage2Stage1/(rStage2Stage1+rStage2Stage3+rStage2Remission)*(1-EXP(-(rStage2Stage1+rStage2Stage3+rStage2Remission)))</f>
        <v>0.05</v>
      </c>
      <c r="N28" s="108">
        <f>1-M28-O28-P28</f>
        <v>0.59999999999999987</v>
      </c>
      <c r="O28" s="108">
        <f>rStage2Stage3/(rStage2Stage1+rStage2Stage3+rStage2Remission)*(1-EXP(-(rStage2Stage1+rStage2Stage3+rStage2Remission)))</f>
        <v>0.15000000000000002</v>
      </c>
      <c r="P28" s="108">
        <f>rStage2Remission/(rStage2Stage1+rStage2Stage3+rStage2Remission)*(1-EXP(-(rStage2Stage1+rStage2Stage3+rStage2Remission)))</f>
        <v>0.2</v>
      </c>
      <c r="Q28" s="109">
        <v>0</v>
      </c>
      <c r="R28" s="106"/>
      <c r="S28" s="107"/>
      <c r="T28" s="110">
        <f t="shared" si="49"/>
        <v>0</v>
      </c>
      <c r="U28" s="110">
        <f t="shared" si="39"/>
        <v>4.483812811724925E-2</v>
      </c>
      <c r="V28" s="110">
        <f t="shared" si="40"/>
        <v>0.60881029940928721</v>
      </c>
      <c r="W28" s="110">
        <f t="shared" si="41"/>
        <v>0.10448831602884262</v>
      </c>
      <c r="X28" s="110">
        <f t="shared" si="42"/>
        <v>0.2005058427778057</v>
      </c>
      <c r="Y28" s="111">
        <f t="shared" si="43"/>
        <v>4.1357413666815154E-2</v>
      </c>
      <c r="Z28" s="106"/>
      <c r="AA28" s="112">
        <v>0</v>
      </c>
      <c r="AB28" s="112">
        <v>0</v>
      </c>
      <c r="AC28" s="112">
        <v>1</v>
      </c>
      <c r="AD28" s="112">
        <v>0</v>
      </c>
      <c r="AE28" s="112">
        <v>0</v>
      </c>
      <c r="AF28" s="112">
        <v>0</v>
      </c>
      <c r="AG28" s="61"/>
      <c r="AH28" s="126">
        <f t="shared" si="50"/>
        <v>0</v>
      </c>
      <c r="AI28" s="113">
        <f t="shared" si="44"/>
        <v>6.385320297074884E-2</v>
      </c>
      <c r="AJ28" s="124">
        <f t="shared" si="45"/>
        <v>-0.51082562376599072</v>
      </c>
      <c r="AK28" s="124">
        <f t="shared" si="46"/>
        <v>0.19155960891224652</v>
      </c>
      <c r="AL28" s="113">
        <f t="shared" si="47"/>
        <v>0.25541281188299536</v>
      </c>
      <c r="AM28" s="113">
        <f t="shared" si="48"/>
        <v>0</v>
      </c>
      <c r="AN28" s="125"/>
      <c r="AO28" s="113">
        <v>0</v>
      </c>
      <c r="AP28" s="113">
        <v>-4.6885089273684261E-2</v>
      </c>
      <c r="AQ28" s="113">
        <v>0.28737567637710387</v>
      </c>
      <c r="AR28" s="113">
        <v>-0.23063255953765702</v>
      </c>
      <c r="AS28" s="113">
        <v>-0.12935913010978312</v>
      </c>
      <c r="AT28" s="113">
        <v>0.11950110254402049</v>
      </c>
      <c r="AU28" s="125"/>
      <c r="AV28" s="113">
        <v>0</v>
      </c>
      <c r="AW28" s="113">
        <v>3.1841665945008639E-2</v>
      </c>
      <c r="AX28" s="113">
        <v>-0.17123794060086447</v>
      </c>
      <c r="AY28" s="113">
        <v>0.21491188056654104</v>
      </c>
      <c r="AZ28" s="113">
        <v>6.8360471639280412E-2</v>
      </c>
      <c r="BA28" s="113">
        <v>-0.14387607754996562</v>
      </c>
      <c r="BB28" s="125"/>
      <c r="BC28" s="113">
        <v>0</v>
      </c>
      <c r="BD28" s="113">
        <v>-2.1107388979813579E-2</v>
      </c>
      <c r="BE28" s="113">
        <v>0.10770580208488258</v>
      </c>
      <c r="BF28" s="113">
        <v>-0.18176783701597371</v>
      </c>
      <c r="BG28" s="113">
        <v>-3.8899583764275533E-2</v>
      </c>
      <c r="BH28" s="114">
        <v>0.13406900767518026</v>
      </c>
    </row>
    <row r="29" spans="2:60" ht="16" customHeight="1" x14ac:dyDescent="0.2">
      <c r="B29" s="101" t="s">
        <v>176</v>
      </c>
      <c r="C29" s="102" t="s">
        <v>10</v>
      </c>
      <c r="D29" s="104">
        <v>0</v>
      </c>
      <c r="E29" s="104">
        <v>0</v>
      </c>
      <c r="F29" s="103">
        <f>rStage3Stage2</f>
        <v>6.9314718055994526E-2</v>
      </c>
      <c r="G29" s="103">
        <f>-(rStage3Death+rStage3Stage2)</f>
        <v>-0.69314718055994529</v>
      </c>
      <c r="H29" s="104">
        <v>0</v>
      </c>
      <c r="I29" s="115">
        <f>rStage3Death</f>
        <v>0.62383246250395075</v>
      </c>
      <c r="J29" s="106"/>
      <c r="K29" s="107"/>
      <c r="L29" s="108">
        <v>0</v>
      </c>
      <c r="M29" s="108">
        <v>0</v>
      </c>
      <c r="N29" s="108">
        <f>rStage3Stage2/(rStage3Death+rStage3Stage2)*(1-EXP(-(rStage3Death+rStage3Stage2)))</f>
        <v>4.9999999999999996E-2</v>
      </c>
      <c r="O29" s="108">
        <f>1-N29-Q29</f>
        <v>0.49999999999999994</v>
      </c>
      <c r="P29" s="108">
        <v>0</v>
      </c>
      <c r="Q29" s="109">
        <f>rStage3Death/(rStage3Death+rStage3Stage2)*(1-EXP(-(rStage3Death+rStage3Stage2)))</f>
        <v>0.45</v>
      </c>
      <c r="R29" s="106"/>
      <c r="S29" s="107"/>
      <c r="T29" s="110">
        <f t="shared" si="49"/>
        <v>0</v>
      </c>
      <c r="U29" s="110">
        <f t="shared" si="39"/>
        <v>1.4344617516834158E-3</v>
      </c>
      <c r="V29" s="110">
        <f t="shared" si="40"/>
        <v>3.7808482731882725E-2</v>
      </c>
      <c r="W29" s="110">
        <f t="shared" si="41"/>
        <v>0.50498220092151047</v>
      </c>
      <c r="X29" s="110">
        <f t="shared" si="42"/>
        <v>6.1230940576013047E-3</v>
      </c>
      <c r="Y29" s="111">
        <f t="shared" si="43"/>
        <v>0.44965176053732209</v>
      </c>
      <c r="Z29" s="106"/>
      <c r="AA29" s="112">
        <v>0</v>
      </c>
      <c r="AB29" s="112">
        <v>0</v>
      </c>
      <c r="AC29" s="112">
        <v>0</v>
      </c>
      <c r="AD29" s="112">
        <v>1</v>
      </c>
      <c r="AE29" s="112">
        <v>0</v>
      </c>
      <c r="AF29" s="112">
        <v>0</v>
      </c>
      <c r="AG29" s="61"/>
      <c r="AH29" s="126">
        <f t="shared" si="50"/>
        <v>0</v>
      </c>
      <c r="AI29" s="113">
        <f t="shared" si="44"/>
        <v>0</v>
      </c>
      <c r="AJ29" s="124">
        <f t="shared" si="45"/>
        <v>6.9314718055994526E-2</v>
      </c>
      <c r="AK29" s="124">
        <f t="shared" si="46"/>
        <v>-0.69314718055994529</v>
      </c>
      <c r="AL29" s="113">
        <f t="shared" si="47"/>
        <v>0</v>
      </c>
      <c r="AM29" s="113">
        <f t="shared" si="48"/>
        <v>0.62383246250395075</v>
      </c>
      <c r="AN29" s="125"/>
      <c r="AO29" s="113">
        <v>0</v>
      </c>
      <c r="AP29" s="113">
        <v>4.4259667608896481E-3</v>
      </c>
      <c r="AQ29" s="113">
        <v>-8.3453035478937315E-2</v>
      </c>
      <c r="AR29" s="113">
        <v>0.49373091420087034</v>
      </c>
      <c r="AS29" s="113">
        <v>1.7703867043558592E-2</v>
      </c>
      <c r="AT29" s="113">
        <v>-0.43240771252638127</v>
      </c>
      <c r="AU29" s="125"/>
      <c r="AV29" s="113">
        <v>0</v>
      </c>
      <c r="AW29" s="113">
        <v>-6.3176731255982499E-3</v>
      </c>
      <c r="AX29" s="113">
        <v>7.7764600235624162E-2</v>
      </c>
      <c r="AY29" s="113">
        <v>-0.35821442197250258</v>
      </c>
      <c r="AZ29" s="113">
        <v>-2.1237877157779098E-2</v>
      </c>
      <c r="BA29" s="113">
        <v>0.3080053720202558</v>
      </c>
      <c r="BB29" s="125"/>
      <c r="BC29" s="113">
        <v>0</v>
      </c>
      <c r="BD29" s="113">
        <v>6.5861734121191997E-3</v>
      </c>
      <c r="BE29" s="113">
        <v>-6.5771622973932201E-2</v>
      </c>
      <c r="BF29" s="113">
        <v>0.26319187303450403</v>
      </c>
      <c r="BG29" s="113">
        <v>1.9459361490844582E-2</v>
      </c>
      <c r="BH29" s="114">
        <v>-0.22346578496353561</v>
      </c>
    </row>
    <row r="30" spans="2:60" x14ac:dyDescent="0.2">
      <c r="B30" s="101" t="s">
        <v>176</v>
      </c>
      <c r="C30" s="102" t="s">
        <v>11</v>
      </c>
      <c r="D30" s="104">
        <v>0</v>
      </c>
      <c r="E30" s="103">
        <f>rRemissionStage1*hrRemissionStage1_trtC</f>
        <v>5.1836209167739643E-2</v>
      </c>
      <c r="F30" s="103">
        <f>rRemissionStage2*hrRemissionStage2_trtC</f>
        <v>2.0734483667095856E-2</v>
      </c>
      <c r="G30" s="104">
        <v>0</v>
      </c>
      <c r="H30" s="103">
        <f>-(hrRemissionStage1_trtC*rRemissionStage1+hrRemissionStage2_trtC*rRemissionStage2)</f>
        <v>-7.2570692834835498E-2</v>
      </c>
      <c r="I30" s="105">
        <v>0</v>
      </c>
      <c r="J30" s="106"/>
      <c r="K30" s="107"/>
      <c r="L30" s="108">
        <v>0</v>
      </c>
      <c r="M30" s="108">
        <f>E30/(E30+F30)*(1-EXP(-(E30+F30)))</f>
        <v>5.0000000000000044E-2</v>
      </c>
      <c r="N30" s="108">
        <f>F30/(E30+F30)*(1-EXP(-(E30+F30)))</f>
        <v>2.0000000000000018E-2</v>
      </c>
      <c r="O30" s="108">
        <v>0</v>
      </c>
      <c r="P30" s="108">
        <f>1-M30-N30</f>
        <v>0.92999999999999994</v>
      </c>
      <c r="Q30" s="109">
        <v>0</v>
      </c>
      <c r="R30" s="106"/>
      <c r="S30" s="107"/>
      <c r="T30" s="110">
        <f t="shared" si="49"/>
        <v>0</v>
      </c>
      <c r="U30" s="110">
        <f t="shared" si="39"/>
        <v>4.1167161461335505E-2</v>
      </c>
      <c r="V30" s="110">
        <f t="shared" si="40"/>
        <v>1.801684630540884E-2</v>
      </c>
      <c r="W30" s="110">
        <f t="shared" si="41"/>
        <v>1.4612883365655925E-3</v>
      </c>
      <c r="X30" s="110">
        <f t="shared" si="42"/>
        <v>0.93904176283323504</v>
      </c>
      <c r="Y30" s="111">
        <f t="shared" si="43"/>
        <v>3.1294106345496579E-4</v>
      </c>
      <c r="Z30" s="106"/>
      <c r="AA30" s="112">
        <v>0</v>
      </c>
      <c r="AB30" s="112">
        <v>0</v>
      </c>
      <c r="AC30" s="112">
        <v>0</v>
      </c>
      <c r="AD30" s="112">
        <v>0</v>
      </c>
      <c r="AE30" s="112">
        <v>1</v>
      </c>
      <c r="AF30" s="112">
        <v>0</v>
      </c>
      <c r="AG30" s="61"/>
      <c r="AH30" s="126">
        <f t="shared" si="50"/>
        <v>0</v>
      </c>
      <c r="AI30" s="113">
        <f t="shared" si="44"/>
        <v>5.1836209167739643E-2</v>
      </c>
      <c r="AJ30" s="124">
        <f t="shared" si="45"/>
        <v>2.0734483667095856E-2</v>
      </c>
      <c r="AK30" s="124">
        <f t="shared" si="46"/>
        <v>0</v>
      </c>
      <c r="AL30" s="113">
        <f t="shared" si="47"/>
        <v>-7.2570692834835498E-2</v>
      </c>
      <c r="AM30" s="113">
        <f t="shared" si="48"/>
        <v>0</v>
      </c>
      <c r="AN30" s="125"/>
      <c r="AO30" s="113">
        <v>0</v>
      </c>
      <c r="AP30" s="113">
        <v>-2.4767979763602864E-2</v>
      </c>
      <c r="AQ30" s="113">
        <v>-5.71637758530163E-3</v>
      </c>
      <c r="AR30" s="113">
        <v>3.9718895822662449E-3</v>
      </c>
      <c r="AS30" s="113">
        <v>2.6512467766638247E-2</v>
      </c>
      <c r="AT30" s="113">
        <v>0</v>
      </c>
      <c r="AU30" s="125"/>
      <c r="AV30" s="113">
        <v>0</v>
      </c>
      <c r="AW30" s="113">
        <v>1.1678919354776449E-2</v>
      </c>
      <c r="AX30" s="113">
        <v>6.9664129689580093E-4</v>
      </c>
      <c r="AY30" s="113">
        <v>-3.848131120078379E-3</v>
      </c>
      <c r="AZ30" s="113">
        <v>-1.1005223190492811E-2</v>
      </c>
      <c r="BA30" s="113">
        <v>2.47779365889894E-3</v>
      </c>
      <c r="BB30" s="125"/>
      <c r="BC30" s="113">
        <v>0</v>
      </c>
      <c r="BD30" s="113">
        <v>-5.5570652095707539E-3</v>
      </c>
      <c r="BE30" s="113">
        <v>5.8666915554793386E-4</v>
      </c>
      <c r="BF30" s="113">
        <v>2.8007695706927923E-3</v>
      </c>
      <c r="BG30" s="113">
        <v>4.5702155960066085E-3</v>
      </c>
      <c r="BH30" s="114">
        <v>-2.4005891126765815E-3</v>
      </c>
    </row>
    <row r="31" spans="2:60" ht="16" thickBot="1" x14ac:dyDescent="0.25">
      <c r="B31" s="101" t="s">
        <v>176</v>
      </c>
      <c r="C31" s="131" t="s">
        <v>12</v>
      </c>
      <c r="D31" s="132">
        <v>0</v>
      </c>
      <c r="E31" s="132">
        <v>0</v>
      </c>
      <c r="F31" s="132">
        <v>0</v>
      </c>
      <c r="G31" s="132">
        <v>0</v>
      </c>
      <c r="H31" s="132">
        <v>0</v>
      </c>
      <c r="I31" s="133">
        <v>0</v>
      </c>
      <c r="J31" s="106"/>
      <c r="K31" s="128"/>
      <c r="L31" s="134">
        <v>0</v>
      </c>
      <c r="M31" s="134">
        <v>0</v>
      </c>
      <c r="N31" s="134">
        <v>0</v>
      </c>
      <c r="O31" s="134">
        <v>0</v>
      </c>
      <c r="P31" s="134">
        <v>0</v>
      </c>
      <c r="Q31" s="135">
        <v>1</v>
      </c>
      <c r="R31" s="106"/>
      <c r="S31" s="128"/>
      <c r="T31" s="129">
        <f t="shared" si="49"/>
        <v>0</v>
      </c>
      <c r="U31" s="129">
        <f t="shared" si="39"/>
        <v>0</v>
      </c>
      <c r="V31" s="129">
        <f t="shared" si="40"/>
        <v>0</v>
      </c>
      <c r="W31" s="129">
        <f t="shared" si="41"/>
        <v>0</v>
      </c>
      <c r="X31" s="129">
        <f t="shared" si="42"/>
        <v>0</v>
      </c>
      <c r="Y31" s="130">
        <f t="shared" si="43"/>
        <v>1</v>
      </c>
      <c r="Z31" s="106"/>
      <c r="AA31" s="112">
        <v>0</v>
      </c>
      <c r="AB31" s="112">
        <v>0</v>
      </c>
      <c r="AC31" s="112">
        <v>0</v>
      </c>
      <c r="AD31" s="112">
        <v>0</v>
      </c>
      <c r="AE31" s="112">
        <v>0</v>
      </c>
      <c r="AF31" s="112">
        <v>1</v>
      </c>
      <c r="AG31" s="61"/>
      <c r="AH31" s="136">
        <f t="shared" si="50"/>
        <v>0</v>
      </c>
      <c r="AI31" s="137">
        <f t="shared" si="44"/>
        <v>0</v>
      </c>
      <c r="AJ31" s="138">
        <f t="shared" si="45"/>
        <v>0</v>
      </c>
      <c r="AK31" s="138">
        <f t="shared" si="46"/>
        <v>0</v>
      </c>
      <c r="AL31" s="137">
        <f t="shared" si="47"/>
        <v>0</v>
      </c>
      <c r="AM31" s="137">
        <f t="shared" si="48"/>
        <v>0</v>
      </c>
      <c r="AN31" s="139"/>
      <c r="AO31" s="137">
        <v>0</v>
      </c>
      <c r="AP31" s="137">
        <v>0</v>
      </c>
      <c r="AQ31" s="137">
        <v>0</v>
      </c>
      <c r="AR31" s="137">
        <v>0</v>
      </c>
      <c r="AS31" s="137">
        <v>0</v>
      </c>
      <c r="AT31" s="137">
        <v>0</v>
      </c>
      <c r="AU31" s="139"/>
      <c r="AV31" s="137">
        <v>0</v>
      </c>
      <c r="AW31" s="137">
        <v>0</v>
      </c>
      <c r="AX31" s="137">
        <v>0</v>
      </c>
      <c r="AY31" s="137">
        <v>0</v>
      </c>
      <c r="AZ31" s="137">
        <v>0</v>
      </c>
      <c r="BA31" s="137">
        <v>0</v>
      </c>
      <c r="BB31" s="139"/>
      <c r="BC31" s="137">
        <v>0</v>
      </c>
      <c r="BD31" s="137">
        <v>0</v>
      </c>
      <c r="BE31" s="137">
        <v>0</v>
      </c>
      <c r="BF31" s="137">
        <v>0</v>
      </c>
      <c r="BG31" s="137">
        <v>0</v>
      </c>
      <c r="BH31" s="140">
        <v>0</v>
      </c>
    </row>
    <row r="33" spans="19:25" ht="16" thickBot="1" x14ac:dyDescent="0.25"/>
    <row r="34" spans="19:25" ht="17" thickBot="1" x14ac:dyDescent="0.25">
      <c r="S34" s="84" t="s">
        <v>242</v>
      </c>
      <c r="T34" s="85"/>
      <c r="U34" s="85"/>
      <c r="V34" s="85"/>
      <c r="W34" s="85"/>
      <c r="X34" s="85"/>
      <c r="Y34" s="86"/>
    </row>
    <row r="35" spans="19:25" ht="16" x14ac:dyDescent="0.2">
      <c r="S35" s="87"/>
      <c r="T35" s="231" t="s">
        <v>164</v>
      </c>
      <c r="U35" s="231"/>
      <c r="V35" s="231"/>
      <c r="W35" s="231"/>
      <c r="X35" s="231"/>
      <c r="Y35" s="232"/>
    </row>
    <row r="36" spans="19:25" ht="17" x14ac:dyDescent="0.2">
      <c r="S36" s="97"/>
      <c r="T36" s="94" t="s">
        <v>7</v>
      </c>
      <c r="U36" s="123" t="s">
        <v>8</v>
      </c>
      <c r="V36" s="123" t="s">
        <v>9</v>
      </c>
      <c r="W36" s="123" t="s">
        <v>10</v>
      </c>
      <c r="X36" s="123" t="s">
        <v>11</v>
      </c>
      <c r="Y36" s="95" t="s">
        <v>12</v>
      </c>
    </row>
    <row r="37" spans="19:25" ht="16" x14ac:dyDescent="0.2">
      <c r="S37" s="107" t="s">
        <v>243</v>
      </c>
      <c r="T37" s="110">
        <v>0.92</v>
      </c>
      <c r="U37" s="110">
        <v>4.1333250000000002E-2</v>
      </c>
      <c r="V37" s="110">
        <v>1.8340039999999998E-2</v>
      </c>
      <c r="W37" s="110">
        <v>8.6470160000000004E-3</v>
      </c>
      <c r="X37" s="110">
        <v>8.8109710000000008E-3</v>
      </c>
      <c r="Y37" s="111">
        <v>2.8687218000000001E-3</v>
      </c>
    </row>
    <row r="38" spans="19:25" x14ac:dyDescent="0.2">
      <c r="S38" s="107"/>
      <c r="T38" s="110">
        <v>0</v>
      </c>
      <c r="U38" s="110">
        <v>0.664940592</v>
      </c>
      <c r="V38" s="110">
        <v>8.3637210000000003E-2</v>
      </c>
      <c r="W38" s="110">
        <v>7.2306549999999999E-3</v>
      </c>
      <c r="X38" s="110">
        <v>0.242487697</v>
      </c>
      <c r="Y38" s="111">
        <v>1.7038463000000001E-3</v>
      </c>
    </row>
    <row r="39" spans="19:25" x14ac:dyDescent="0.2">
      <c r="S39" s="107"/>
      <c r="T39" s="110">
        <v>0</v>
      </c>
      <c r="U39" s="110">
        <v>5.0030155E-2</v>
      </c>
      <c r="V39" s="110">
        <v>0.61140563000000003</v>
      </c>
      <c r="W39" s="110">
        <v>0.105748037</v>
      </c>
      <c r="X39" s="110">
        <v>0.192258869</v>
      </c>
      <c r="Y39" s="111">
        <v>4.0557307000000001E-2</v>
      </c>
    </row>
    <row r="40" spans="19:25" x14ac:dyDescent="0.2">
      <c r="S40" s="107"/>
      <c r="T40" s="110">
        <v>0</v>
      </c>
      <c r="U40" s="110">
        <v>1.498599E-3</v>
      </c>
      <c r="V40" s="110">
        <v>3.8264310000000003E-2</v>
      </c>
      <c r="W40" s="110">
        <v>0.50354208899999997</v>
      </c>
      <c r="X40" s="110">
        <v>5.8271549999999997E-3</v>
      </c>
      <c r="Y40" s="111">
        <v>0.45086785039999999</v>
      </c>
    </row>
    <row r="41" spans="19:25" x14ac:dyDescent="0.2">
      <c r="S41" s="107"/>
      <c r="T41" s="110">
        <v>0</v>
      </c>
      <c r="U41" s="110">
        <v>8.2727132999999994E-2</v>
      </c>
      <c r="V41" s="110">
        <v>4.3977769999999999E-2</v>
      </c>
      <c r="W41" s="110">
        <v>3.6037759999999999E-3</v>
      </c>
      <c r="X41" s="110">
        <v>0.86886949899999999</v>
      </c>
      <c r="Y41" s="111">
        <v>8.2182670000000002E-4</v>
      </c>
    </row>
    <row r="42" spans="19:25" x14ac:dyDescent="0.2">
      <c r="S42" s="107"/>
      <c r="T42" s="110">
        <v>0</v>
      </c>
      <c r="U42" s="110">
        <v>0</v>
      </c>
      <c r="V42" s="110">
        <v>0</v>
      </c>
      <c r="W42" s="110">
        <v>0</v>
      </c>
      <c r="X42" s="110">
        <v>0</v>
      </c>
      <c r="Y42" s="111">
        <v>1</v>
      </c>
    </row>
    <row r="43" spans="19:25" ht="16" x14ac:dyDescent="0.2">
      <c r="S43" s="97"/>
      <c r="T43" s="127"/>
      <c r="U43" s="127"/>
      <c r="V43" s="127"/>
      <c r="W43" s="127"/>
      <c r="X43" s="127"/>
      <c r="Y43" s="118"/>
    </row>
    <row r="44" spans="19:25" ht="16" x14ac:dyDescent="0.2">
      <c r="S44" s="107" t="s">
        <v>244</v>
      </c>
      <c r="T44" s="110">
        <v>0.92</v>
      </c>
      <c r="U44" s="110">
        <v>4.1089466999999998E-2</v>
      </c>
      <c r="V44" s="110">
        <v>1.8214215999999998E-2</v>
      </c>
      <c r="W44" s="110">
        <v>8.6415200999999994E-3</v>
      </c>
      <c r="X44" s="110">
        <v>9.1867979999999995E-3</v>
      </c>
      <c r="Y44" s="111">
        <v>2.8679993000000001E-3</v>
      </c>
    </row>
    <row r="45" spans="19:25" x14ac:dyDescent="0.2">
      <c r="S45" s="107"/>
      <c r="T45" s="110">
        <v>0</v>
      </c>
      <c r="U45" s="110">
        <v>0.65492680700000006</v>
      </c>
      <c r="V45" s="110">
        <v>7.8414339999999999E-2</v>
      </c>
      <c r="W45" s="110">
        <v>6.9304702999999999E-3</v>
      </c>
      <c r="X45" s="110">
        <v>0.25807495699999999</v>
      </c>
      <c r="Y45" s="111">
        <v>1.6534261E-3</v>
      </c>
    </row>
    <row r="46" spans="19:25" x14ac:dyDescent="0.2">
      <c r="S46" s="107"/>
      <c r="T46" s="110">
        <v>0</v>
      </c>
      <c r="U46" s="110">
        <v>4.1980394999999997E-2</v>
      </c>
      <c r="V46" s="110">
        <v>0.60720583800000005</v>
      </c>
      <c r="W46" s="110">
        <v>0.10550495930000001</v>
      </c>
      <c r="X46" s="110">
        <v>0.204792534</v>
      </c>
      <c r="Y46" s="111">
        <v>4.0516273999999998E-2</v>
      </c>
    </row>
    <row r="47" spans="19:25" x14ac:dyDescent="0.2">
      <c r="S47" s="107"/>
      <c r="T47" s="110">
        <v>0</v>
      </c>
      <c r="U47" s="110">
        <v>1.3283660000000001E-3</v>
      </c>
      <c r="V47" s="110">
        <v>3.8176348999999998E-2</v>
      </c>
      <c r="W47" s="110">
        <v>0.50353812350000005</v>
      </c>
      <c r="X47" s="110">
        <v>6.089845E-3</v>
      </c>
      <c r="Y47" s="111">
        <v>0.45086731629999999</v>
      </c>
    </row>
    <row r="48" spans="19:25" x14ac:dyDescent="0.2">
      <c r="S48" s="107"/>
      <c r="T48" s="110">
        <v>0</v>
      </c>
      <c r="U48" s="110">
        <v>1.65112E-2</v>
      </c>
      <c r="V48" s="110">
        <v>8.7671720000000002E-3</v>
      </c>
      <c r="W48" s="110">
        <v>7.0546879999999995E-4</v>
      </c>
      <c r="X48" s="110">
        <v>0.97385709899999995</v>
      </c>
      <c r="Y48" s="111">
        <v>1.5906079999999999E-4</v>
      </c>
    </row>
    <row r="49" spans="19:25" x14ac:dyDescent="0.2">
      <c r="S49" s="107"/>
      <c r="T49" s="110">
        <v>0</v>
      </c>
      <c r="U49" s="110">
        <v>0</v>
      </c>
      <c r="V49" s="110">
        <v>0</v>
      </c>
      <c r="W49" s="110">
        <v>0</v>
      </c>
      <c r="X49" s="110">
        <v>0</v>
      </c>
      <c r="Y49" s="111">
        <v>1</v>
      </c>
    </row>
    <row r="50" spans="19:25" x14ac:dyDescent="0.2">
      <c r="S50" s="107"/>
      <c r="T50" s="127"/>
      <c r="U50" s="127"/>
      <c r="V50" s="127"/>
      <c r="W50" s="127"/>
      <c r="X50" s="127"/>
      <c r="Y50" s="118"/>
    </row>
    <row r="51" spans="19:25" ht="16" x14ac:dyDescent="0.2">
      <c r="S51" s="107" t="s">
        <v>245</v>
      </c>
      <c r="T51" s="110">
        <v>0.92</v>
      </c>
      <c r="U51" s="110">
        <v>4.1269611999999997E-2</v>
      </c>
      <c r="V51" s="110">
        <v>1.8278300000000001E-2</v>
      </c>
      <c r="W51" s="110">
        <v>8.6443010000000001E-3</v>
      </c>
      <c r="X51" s="110">
        <v>8.9394190000000005E-3</v>
      </c>
      <c r="Y51" s="111">
        <v>2.8683632000000001E-3</v>
      </c>
    </row>
    <row r="52" spans="19:25" x14ac:dyDescent="0.2">
      <c r="S52" s="107"/>
      <c r="T52" s="110">
        <v>0</v>
      </c>
      <c r="U52" s="110">
        <v>0.66235045400000003</v>
      </c>
      <c r="V52" s="110">
        <v>8.1105090000000005E-2</v>
      </c>
      <c r="W52" s="110">
        <v>7.0835189999999999E-3</v>
      </c>
      <c r="X52" s="110">
        <v>0.247781999</v>
      </c>
      <c r="Y52" s="111">
        <v>1.6789419000000001E-3</v>
      </c>
    </row>
    <row r="53" spans="19:25" x14ac:dyDescent="0.2">
      <c r="S53" s="107"/>
      <c r="T53" s="110">
        <v>0</v>
      </c>
      <c r="U53" s="110">
        <v>4.7948594999999997E-2</v>
      </c>
      <c r="V53" s="110">
        <v>0.60937023000000001</v>
      </c>
      <c r="W53" s="110">
        <v>0.105628913</v>
      </c>
      <c r="X53" s="110">
        <v>0.19651522299999999</v>
      </c>
      <c r="Y53" s="111">
        <v>4.0537041099999997E-2</v>
      </c>
    </row>
    <row r="54" spans="19:25" x14ac:dyDescent="0.2">
      <c r="S54" s="107"/>
      <c r="T54" s="110">
        <v>0</v>
      </c>
      <c r="U54" s="110">
        <v>1.4542019999999999E-3</v>
      </c>
      <c r="V54" s="110">
        <v>3.8221199999999997E-2</v>
      </c>
      <c r="W54" s="110">
        <v>0.50354013200000003</v>
      </c>
      <c r="X54" s="110">
        <v>5.9168800000000002E-3</v>
      </c>
      <c r="Y54" s="111">
        <v>0.45086758539999999</v>
      </c>
    </row>
    <row r="55" spans="19:25" x14ac:dyDescent="0.2">
      <c r="S55" s="107"/>
      <c r="T55" s="110">
        <v>0</v>
      </c>
      <c r="U55" s="110">
        <v>6.5898979999999996E-2</v>
      </c>
      <c r="V55" s="110">
        <v>2.728278E-2</v>
      </c>
      <c r="W55" s="110">
        <v>2.2005100000000001E-3</v>
      </c>
      <c r="X55" s="110">
        <v>0.90412096900000005</v>
      </c>
      <c r="Y55" s="111">
        <v>4.9676539999999995E-4</v>
      </c>
    </row>
    <row r="56" spans="19:25" x14ac:dyDescent="0.2">
      <c r="S56" s="107"/>
      <c r="T56" s="110">
        <v>0</v>
      </c>
      <c r="U56" s="110">
        <v>0</v>
      </c>
      <c r="V56" s="110">
        <v>0</v>
      </c>
      <c r="W56" s="110">
        <v>0</v>
      </c>
      <c r="X56" s="110">
        <v>0</v>
      </c>
      <c r="Y56" s="111">
        <v>1</v>
      </c>
    </row>
    <row r="57" spans="19:25" x14ac:dyDescent="0.2">
      <c r="S57" s="107"/>
      <c r="T57" s="127"/>
      <c r="U57" s="127"/>
      <c r="V57" s="127"/>
      <c r="W57" s="127"/>
      <c r="X57" s="127"/>
      <c r="Y57" s="118"/>
    </row>
    <row r="58" spans="19:25" ht="16" x14ac:dyDescent="0.2">
      <c r="S58" s="107" t="s">
        <v>246</v>
      </c>
      <c r="T58" s="110">
        <v>0.92</v>
      </c>
      <c r="U58" s="110">
        <v>4.1178548000000002E-2</v>
      </c>
      <c r="V58" s="110">
        <v>1.8245899999999999E-2</v>
      </c>
      <c r="W58" s="110">
        <v>8.6428930000000005E-3</v>
      </c>
      <c r="X58" s="110">
        <v>9.0644780000000008E-3</v>
      </c>
      <c r="Y58" s="111">
        <v>2.8681790000000002E-3</v>
      </c>
    </row>
    <row r="59" spans="19:25" x14ac:dyDescent="0.2">
      <c r="S59" s="107"/>
      <c r="T59" s="110">
        <v>0</v>
      </c>
      <c r="U59" s="110">
        <v>0.65861104100000001</v>
      </c>
      <c r="V59" s="110">
        <v>7.9749319999999999E-2</v>
      </c>
      <c r="W59" s="110">
        <v>7.0061630000000001E-3</v>
      </c>
      <c r="X59" s="110">
        <v>0.252967461</v>
      </c>
      <c r="Y59" s="111">
        <v>1.6660170000000001E-3</v>
      </c>
    </row>
    <row r="60" spans="19:25" x14ac:dyDescent="0.2">
      <c r="S60" s="107"/>
      <c r="T60" s="110">
        <v>0</v>
      </c>
      <c r="U60" s="110">
        <v>4.4942628999999998E-2</v>
      </c>
      <c r="V60" s="110">
        <v>0.60827978000000005</v>
      </c>
      <c r="W60" s="110">
        <v>0.10556626600000001</v>
      </c>
      <c r="X60" s="110">
        <v>0.20068480299999999</v>
      </c>
      <c r="Y60" s="111">
        <v>4.0526522000000002E-2</v>
      </c>
    </row>
    <row r="61" spans="19:25" x14ac:dyDescent="0.2">
      <c r="S61" s="107"/>
      <c r="T61" s="110">
        <v>0</v>
      </c>
      <c r="U61" s="110">
        <v>1.3906140000000001E-3</v>
      </c>
      <c r="V61" s="110">
        <v>3.8198530000000001E-2</v>
      </c>
      <c r="W61" s="110">
        <v>0.50353911500000004</v>
      </c>
      <c r="X61" s="110">
        <v>6.0042899999999998E-3</v>
      </c>
      <c r="Y61" s="111">
        <v>0.45086744899999998</v>
      </c>
    </row>
    <row r="62" spans="19:25" x14ac:dyDescent="0.2">
      <c r="S62" s="107"/>
      <c r="T62" s="110">
        <v>0</v>
      </c>
      <c r="U62" s="110">
        <v>4.1187719999999997E-2</v>
      </c>
      <c r="V62" s="110">
        <v>1.801171E-2</v>
      </c>
      <c r="W62" s="110">
        <v>1.4474959999999999E-3</v>
      </c>
      <c r="X62" s="110">
        <v>0.93902702199999999</v>
      </c>
      <c r="Y62" s="111">
        <v>3.2604699999999999E-4</v>
      </c>
    </row>
    <row r="63" spans="19:25" ht="16" thickBot="1" x14ac:dyDescent="0.25">
      <c r="S63" s="128"/>
      <c r="T63" s="129">
        <v>0</v>
      </c>
      <c r="U63" s="129">
        <v>0</v>
      </c>
      <c r="V63" s="129">
        <v>0</v>
      </c>
      <c r="W63" s="129">
        <v>0</v>
      </c>
      <c r="X63" s="129">
        <v>0</v>
      </c>
      <c r="Y63" s="130">
        <v>1</v>
      </c>
    </row>
  </sheetData>
  <mergeCells count="6">
    <mergeCell ref="T35:Y35"/>
    <mergeCell ref="C2:I2"/>
    <mergeCell ref="AH2:BH2"/>
    <mergeCell ref="C3:I3"/>
    <mergeCell ref="L3:Q3"/>
    <mergeCell ref="T3:Y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1D582-76E8-BB41-B2A5-F6E934A9B8A3}">
  <dimension ref="A1:AB34"/>
  <sheetViews>
    <sheetView workbookViewId="0">
      <selection activeCell="C6" sqref="C6"/>
    </sheetView>
  </sheetViews>
  <sheetFormatPr baseColWidth="10" defaultRowHeight="15" x14ac:dyDescent="0.2"/>
  <cols>
    <col min="16" max="16" width="2.6640625" customWidth="1"/>
    <col min="28" max="28" width="11.6640625" bestFit="1" customWidth="1"/>
  </cols>
  <sheetData>
    <row r="1" spans="1:28" ht="52" thickBot="1" x14ac:dyDescent="0.25">
      <c r="G1" s="239" t="s">
        <v>193</v>
      </c>
      <c r="H1" s="239"/>
      <c r="I1" s="239"/>
      <c r="J1" s="239"/>
      <c r="K1" s="239"/>
      <c r="L1" s="239"/>
      <c r="M1" s="239"/>
      <c r="N1" s="147"/>
      <c r="O1" s="148" t="s">
        <v>194</v>
      </c>
      <c r="P1" s="149"/>
      <c r="Q1" s="148" t="s">
        <v>195</v>
      </c>
      <c r="R1" s="150"/>
      <c r="S1" s="239" t="s">
        <v>196</v>
      </c>
      <c r="T1" s="239"/>
      <c r="U1" s="147"/>
      <c r="V1" s="148" t="s">
        <v>197</v>
      </c>
      <c r="W1" s="150"/>
      <c r="X1" s="148" t="s">
        <v>198</v>
      </c>
      <c r="Y1" s="148" t="s">
        <v>199</v>
      </c>
      <c r="Z1" s="149"/>
      <c r="AA1" s="61"/>
      <c r="AB1" s="61"/>
    </row>
    <row r="2" spans="1:28" ht="17" thickBot="1" x14ac:dyDescent="0.25">
      <c r="A2" s="60" t="s">
        <v>187</v>
      </c>
      <c r="B2" s="61"/>
      <c r="C2" s="61"/>
      <c r="D2" s="61"/>
      <c r="E2" s="61"/>
      <c r="G2" s="151"/>
      <c r="H2" s="151"/>
      <c r="I2" s="151"/>
      <c r="J2" s="151"/>
      <c r="K2" s="151"/>
      <c r="L2" s="151"/>
      <c r="M2" s="151"/>
      <c r="N2" s="15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152" t="s">
        <v>215</v>
      </c>
      <c r="AB2" s="160" cm="1">
        <f t="array" ref="AB2">MMULT(TRANSPOSE(w_c_quo),cost_quo)</f>
        <v>28610742.461703051</v>
      </c>
    </row>
    <row r="3" spans="1:28" ht="17" thickBot="1" x14ac:dyDescent="0.25">
      <c r="A3" s="61"/>
      <c r="B3" s="141" t="s">
        <v>188</v>
      </c>
      <c r="C3" s="141" t="s">
        <v>171</v>
      </c>
      <c r="D3" s="142" t="s">
        <v>191</v>
      </c>
      <c r="E3" s="142" t="s">
        <v>192</v>
      </c>
      <c r="G3" s="153" t="s">
        <v>3</v>
      </c>
      <c r="H3" s="153" t="s">
        <v>7</v>
      </c>
      <c r="I3" s="153" t="s">
        <v>8</v>
      </c>
      <c r="J3" s="153" t="s">
        <v>9</v>
      </c>
      <c r="K3" s="141" t="s">
        <v>10</v>
      </c>
      <c r="L3" s="141" t="s">
        <v>11</v>
      </c>
      <c r="M3" s="141" t="s">
        <v>12</v>
      </c>
      <c r="N3" s="60"/>
      <c r="O3" s="142" t="s">
        <v>208</v>
      </c>
      <c r="P3" s="61"/>
      <c r="Q3" s="142" t="s">
        <v>209</v>
      </c>
      <c r="R3" s="61"/>
      <c r="S3" s="142" t="s">
        <v>210</v>
      </c>
      <c r="T3" s="142" t="s">
        <v>211</v>
      </c>
      <c r="U3" s="60"/>
      <c r="V3" s="142" t="s">
        <v>212</v>
      </c>
      <c r="W3" s="60"/>
      <c r="X3" s="142" t="s">
        <v>213</v>
      </c>
      <c r="Y3" s="142" t="s">
        <v>214</v>
      </c>
      <c r="Z3" s="61"/>
      <c r="AA3" s="152" t="s">
        <v>216</v>
      </c>
      <c r="AB3" s="161" cm="1">
        <f t="array" ref="AB3">MMULT(TRANSPOSE(w_e_quo),qaly_quo)</f>
        <v>15290.818231828642</v>
      </c>
    </row>
    <row r="4" spans="1:28" ht="16" x14ac:dyDescent="0.2">
      <c r="A4" s="61"/>
      <c r="B4" s="143" t="s">
        <v>23</v>
      </c>
      <c r="C4" s="143" t="s">
        <v>7</v>
      </c>
      <c r="D4" s="146">
        <v>0</v>
      </c>
      <c r="E4" s="144">
        <f>uHealthy</f>
        <v>1</v>
      </c>
      <c r="G4" s="155">
        <v>0</v>
      </c>
      <c r="H4" s="155">
        <v>1000</v>
      </c>
      <c r="I4" s="155">
        <v>0</v>
      </c>
      <c r="J4" s="155">
        <v>0</v>
      </c>
      <c r="K4" s="155">
        <v>0</v>
      </c>
      <c r="L4" s="155">
        <v>0</v>
      </c>
      <c r="M4" s="155">
        <v>0</v>
      </c>
      <c r="N4" s="61"/>
      <c r="O4" s="156" cm="1">
        <f t="array" ref="O4:O34">MMULT(H4:M34,costs_quo)</f>
        <v>0</v>
      </c>
      <c r="P4" s="61"/>
      <c r="Q4" s="154" cm="1">
        <f t="array" ref="Q4:Q34">MMULT(H4:M34,qalys_quo)</f>
        <v>1000</v>
      </c>
      <c r="R4" s="61"/>
      <c r="S4" s="157">
        <f t="shared" ref="S4:S34" si="0">1/(1+discount_rate)^G4</f>
        <v>1</v>
      </c>
      <c r="T4" s="157">
        <f t="shared" ref="T4:T34" si="1">1/(1+discount_rate)^G4</f>
        <v>1</v>
      </c>
      <c r="U4" s="158"/>
      <c r="V4" s="157">
        <v>0.33333333333333331</v>
      </c>
      <c r="W4" s="159"/>
      <c r="X4" s="157">
        <f>S4*V4</f>
        <v>0.33333333333333331</v>
      </c>
      <c r="Y4" s="157">
        <f>T4*V4</f>
        <v>0.33333333333333331</v>
      </c>
      <c r="Z4" s="61"/>
      <c r="AA4" s="61"/>
      <c r="AB4" s="61"/>
    </row>
    <row r="5" spans="1:28" x14ac:dyDescent="0.2">
      <c r="A5" s="61"/>
      <c r="B5" s="143" t="s">
        <v>23</v>
      </c>
      <c r="C5" s="143" t="s">
        <v>8</v>
      </c>
      <c r="D5" s="144">
        <f>cTreatmentStage1+nVisitsStage1*cVisit</f>
        <v>1600</v>
      </c>
      <c r="E5" s="144">
        <f>uStage1</f>
        <v>0.88</v>
      </c>
      <c r="G5" s="155">
        <v>1</v>
      </c>
      <c r="H5" s="155" cm="1">
        <f t="array" ref="H5:M5">MMULT(H4:M4,m_P_quo)</f>
        <v>919.99999999999989</v>
      </c>
      <c r="I5" s="155">
        <v>50.000000000000043</v>
      </c>
      <c r="J5" s="155">
        <v>20.000000000000018</v>
      </c>
      <c r="K5" s="155">
        <v>10.000000000000009</v>
      </c>
      <c r="L5" s="155">
        <v>0</v>
      </c>
      <c r="M5" s="155">
        <v>0</v>
      </c>
      <c r="O5" s="154">
        <v>456000.00000000035</v>
      </c>
      <c r="Q5" s="154">
        <v>981.8</v>
      </c>
      <c r="S5" s="157">
        <f t="shared" si="0"/>
        <v>0.970873786407767</v>
      </c>
      <c r="T5" s="157">
        <f t="shared" si="1"/>
        <v>0.970873786407767</v>
      </c>
      <c r="V5" s="154">
        <v>0.66666666666666663</v>
      </c>
      <c r="X5" s="157">
        <f t="shared" ref="X5:X34" si="2">S5*V5</f>
        <v>0.6472491909385113</v>
      </c>
      <c r="Y5" s="157">
        <f t="shared" ref="Y5:Y34" si="3">T5*V5</f>
        <v>0.6472491909385113</v>
      </c>
    </row>
    <row r="6" spans="1:28" x14ac:dyDescent="0.2">
      <c r="A6" s="61"/>
      <c r="B6" s="143" t="s">
        <v>23</v>
      </c>
      <c r="C6" s="143" t="s">
        <v>9</v>
      </c>
      <c r="D6" s="144">
        <f>cTreatmentStage2+nVisitsStage2*cVisit</f>
        <v>7200</v>
      </c>
      <c r="E6" s="144">
        <f>uStage2</f>
        <v>0.71</v>
      </c>
      <c r="G6" s="155">
        <v>2</v>
      </c>
      <c r="H6" s="155" cm="1">
        <f t="array" ref="H6:M6">MMULT(H5:M5,m_P_quo)</f>
        <v>846.39999999999986</v>
      </c>
      <c r="I6" s="155">
        <v>79.500000000000057</v>
      </c>
      <c r="J6" s="155">
        <v>35.90000000000002</v>
      </c>
      <c r="K6" s="155">
        <v>17.200000000000014</v>
      </c>
      <c r="L6" s="155">
        <v>16.500000000000014</v>
      </c>
      <c r="M6" s="155">
        <v>4.5000000000000044</v>
      </c>
      <c r="O6" s="154">
        <v>792970.00000000047</v>
      </c>
      <c r="Q6" s="154">
        <v>963.71600000000001</v>
      </c>
      <c r="S6" s="157">
        <f t="shared" si="0"/>
        <v>0.94259590913375435</v>
      </c>
      <c r="T6" s="157">
        <f t="shared" si="1"/>
        <v>0.94259590913375435</v>
      </c>
      <c r="V6" s="154">
        <v>1.3333333333333333</v>
      </c>
      <c r="X6" s="157">
        <f t="shared" si="2"/>
        <v>1.2567945455116725</v>
      </c>
      <c r="Y6" s="157">
        <f t="shared" si="3"/>
        <v>1.2567945455116725</v>
      </c>
    </row>
    <row r="7" spans="1:28" x14ac:dyDescent="0.2">
      <c r="A7" s="61"/>
      <c r="B7" s="143" t="s">
        <v>23</v>
      </c>
      <c r="C7" s="143" t="s">
        <v>10</v>
      </c>
      <c r="D7" s="144">
        <f>cTreatmentStage3+nVisitsStage3*cVisit</f>
        <v>23200</v>
      </c>
      <c r="E7" s="144">
        <f>uStage3</f>
        <v>0.36</v>
      </c>
      <c r="G7" s="155">
        <v>3</v>
      </c>
      <c r="H7" s="155" cm="1">
        <f t="array" ref="H7:M7">MMULT(H6:M6,m_P_quo)</f>
        <v>778.68799999999976</v>
      </c>
      <c r="I7" s="155">
        <v>97.440000000000069</v>
      </c>
      <c r="J7" s="155">
        <v>48.103000000000023</v>
      </c>
      <c r="K7" s="155">
        <v>22.449000000000012</v>
      </c>
      <c r="L7" s="155">
        <v>41.080000000000027</v>
      </c>
      <c r="M7" s="155">
        <v>12.240000000000011</v>
      </c>
      <c r="O7" s="154">
        <v>1043602.4000000006</v>
      </c>
      <c r="Q7" s="154">
        <v>945.69596999999987</v>
      </c>
      <c r="S7" s="157">
        <f t="shared" si="0"/>
        <v>0.91514165935315961</v>
      </c>
      <c r="T7" s="157">
        <f t="shared" si="1"/>
        <v>0.91514165935315961</v>
      </c>
      <c r="V7" s="154">
        <v>0.66666666666666663</v>
      </c>
      <c r="X7" s="157">
        <f t="shared" si="2"/>
        <v>0.61009443956877307</v>
      </c>
      <c r="Y7" s="157">
        <f t="shared" si="3"/>
        <v>0.61009443956877307</v>
      </c>
    </row>
    <row r="8" spans="1:28" x14ac:dyDescent="0.2">
      <c r="A8" s="61"/>
      <c r="B8" s="145" t="s">
        <v>23</v>
      </c>
      <c r="C8" s="145" t="s">
        <v>11</v>
      </c>
      <c r="D8" s="144">
        <f>cTreatmentRemission+nVisitsRemission*cVisit</f>
        <v>500</v>
      </c>
      <c r="E8" s="104">
        <f>uRemission</f>
        <v>0.95</v>
      </c>
      <c r="G8" s="155">
        <v>4</v>
      </c>
      <c r="H8" s="155" cm="1">
        <f t="array" ref="H8:M8">MMULT(H7:M7,m_P_quo)</f>
        <v>716.39295999999968</v>
      </c>
      <c r="I8" s="155">
        <v>108.78355000000009</v>
      </c>
      <c r="J8" s="155">
        <v>57.356010000000026</v>
      </c>
      <c r="K8" s="155">
        <v>26.226830000000014</v>
      </c>
      <c r="L8" s="155">
        <v>68.898600000000044</v>
      </c>
      <c r="M8" s="155">
        <v>22.342050000000015</v>
      </c>
      <c r="O8" s="154">
        <v>1229928.7080000008</v>
      </c>
      <c r="Q8" s="154">
        <v>927.74057989999983</v>
      </c>
      <c r="S8" s="157">
        <f t="shared" si="0"/>
        <v>0.888487047915689</v>
      </c>
      <c r="T8" s="157">
        <f t="shared" si="1"/>
        <v>0.888487047915689</v>
      </c>
      <c r="V8" s="154">
        <v>1.3333333333333333</v>
      </c>
      <c r="X8" s="157">
        <f t="shared" si="2"/>
        <v>1.1846493972209187</v>
      </c>
      <c r="Y8" s="157">
        <f t="shared" si="3"/>
        <v>1.1846493972209187</v>
      </c>
    </row>
    <row r="9" spans="1:28" x14ac:dyDescent="0.2">
      <c r="A9" s="61"/>
      <c r="B9" s="145" t="s">
        <v>23</v>
      </c>
      <c r="C9" s="145" t="s">
        <v>12</v>
      </c>
      <c r="D9" s="144">
        <f>0</f>
        <v>0</v>
      </c>
      <c r="E9" s="104">
        <f>0</f>
        <v>0</v>
      </c>
      <c r="G9" s="155">
        <v>5</v>
      </c>
      <c r="H9" s="155" cm="1">
        <f t="array" ref="H9:M9">MMULT(H8:M8,m_P_quo)</f>
        <v>659.08152319999965</v>
      </c>
      <c r="I9" s="155">
        <v>116.28661600000009</v>
      </c>
      <c r="J9" s="155">
        <v>64.376091700000018</v>
      </c>
      <c r="K9" s="155">
        <v>28.880746100000014</v>
      </c>
      <c r="L9" s="155">
        <v>97.230899500000078</v>
      </c>
      <c r="M9" s="155">
        <v>34.14412350000002</v>
      </c>
      <c r="O9" s="154">
        <v>1368215.2051100009</v>
      </c>
      <c r="Q9" s="154">
        <v>909.88719350799988</v>
      </c>
      <c r="S9" s="157">
        <f t="shared" si="0"/>
        <v>0.86260878438416411</v>
      </c>
      <c r="T9" s="157">
        <f t="shared" si="1"/>
        <v>0.86260878438416411</v>
      </c>
      <c r="V9" s="154">
        <v>0.66666666666666663</v>
      </c>
      <c r="X9" s="157">
        <f t="shared" si="2"/>
        <v>0.575072522922776</v>
      </c>
      <c r="Y9" s="157">
        <f t="shared" si="3"/>
        <v>0.575072522922776</v>
      </c>
    </row>
    <row r="10" spans="1:28" x14ac:dyDescent="0.2">
      <c r="G10" s="155">
        <v>6</v>
      </c>
      <c r="H10" s="155" cm="1">
        <f t="array" ref="H10:M10">MMULT(H9:M9,m_P_quo)</f>
        <v>606.35500134399967</v>
      </c>
      <c r="I10" s="155">
        <v>121.4822710950001</v>
      </c>
      <c r="J10" s="155">
        <v>69.741529364000016</v>
      </c>
      <c r="K10" s="155">
        <v>30.687602037000012</v>
      </c>
      <c r="L10" s="155">
        <v>124.59313691500009</v>
      </c>
      <c r="M10" s="155">
        <v>47.140459245000031</v>
      </c>
      <c r="O10" s="154">
        <v>1470759.5808887007</v>
      </c>
      <c r="Q10" s="154">
        <v>892.18690255860986</v>
      </c>
      <c r="S10" s="157">
        <f t="shared" si="0"/>
        <v>0.83748425668365445</v>
      </c>
      <c r="T10" s="157">
        <f t="shared" si="1"/>
        <v>0.83748425668365445</v>
      </c>
      <c r="V10" s="154">
        <v>1.3333333333333333</v>
      </c>
      <c r="X10" s="157">
        <f t="shared" si="2"/>
        <v>1.1166456755782059</v>
      </c>
      <c r="Y10" s="157">
        <f t="shared" si="3"/>
        <v>1.1166456755782059</v>
      </c>
    </row>
    <row r="11" spans="1:28" x14ac:dyDescent="0.2">
      <c r="G11" s="155">
        <v>7</v>
      </c>
      <c r="H11" s="155" cm="1">
        <f t="array" ref="H11:M11">MMULT(H10:M10,m_P_quo)</f>
        <v>557.84660123647961</v>
      </c>
      <c r="I11" s="155">
        <v>125.22761643865009</v>
      </c>
      <c r="J11" s="155">
        <v>73.884281702380008</v>
      </c>
      <c r="K11" s="155">
        <v>31.868580436540007</v>
      </c>
      <c r="L11" s="155">
        <v>150.2230400243001</v>
      </c>
      <c r="M11" s="155">
        <v>60.949880161650036</v>
      </c>
      <c r="O11" s="154">
        <v>1546793.6006988543</v>
      </c>
      <c r="Q11" s="154">
        <v>874.68932069142102</v>
      </c>
      <c r="S11" s="157">
        <f t="shared" si="0"/>
        <v>0.81309151134335378</v>
      </c>
      <c r="T11" s="157">
        <f t="shared" si="1"/>
        <v>0.81309151134335378</v>
      </c>
      <c r="V11" s="154">
        <v>0.66666666666666663</v>
      </c>
      <c r="X11" s="157">
        <f t="shared" si="2"/>
        <v>0.54206100756223585</v>
      </c>
      <c r="Y11" s="157">
        <f t="shared" si="3"/>
        <v>0.54206100756223585</v>
      </c>
    </row>
    <row r="12" spans="1:28" x14ac:dyDescent="0.2">
      <c r="G12" s="155">
        <v>8</v>
      </c>
      <c r="H12" s="155" cm="1">
        <f t="array" ref="H12:M12">MMULT(H11:M11,m_P_quo)</f>
        <v>513.21887313756122</v>
      </c>
      <c r="I12" s="155">
        <v>128.00679883449558</v>
      </c>
      <c r="J12" s="155">
        <v>77.11484371306463</v>
      </c>
      <c r="K12" s="155">
        <v>32.595398485991808</v>
      </c>
      <c r="L12" s="155">
        <v>173.77334447079363</v>
      </c>
      <c r="M12" s="155">
        <v>75.290741358093044</v>
      </c>
      <c r="O12" s="154">
        <v>1603137.6699796652</v>
      </c>
      <c r="Q12" s="154">
        <v>857.43541585040418</v>
      </c>
      <c r="S12" s="157">
        <f t="shared" si="0"/>
        <v>0.78940923431393573</v>
      </c>
      <c r="T12" s="157">
        <f t="shared" si="1"/>
        <v>0.78940923431393573</v>
      </c>
      <c r="V12" s="154">
        <v>1.3333333333333333</v>
      </c>
      <c r="X12" s="157">
        <f t="shared" si="2"/>
        <v>1.0525456457519142</v>
      </c>
      <c r="Y12" s="157">
        <f t="shared" si="3"/>
        <v>1.0525456457519142</v>
      </c>
    </row>
    <row r="13" spans="1:28" x14ac:dyDescent="0.2">
      <c r="G13" s="155">
        <v>9</v>
      </c>
      <c r="H13" s="155" cm="1">
        <f t="array" ref="H13:M13">MMULT(H12:M12,m_P_quo)</f>
        <v>472.16136328655631</v>
      </c>
      <c r="I13" s="155">
        <v>130.09843953203281</v>
      </c>
      <c r="J13" s="155">
        <v>79.652400721878834</v>
      </c>
      <c r="K13" s="155">
        <v>32.997114531331214</v>
      </c>
      <c r="L13" s="155">
        <v>195.13201125141143</v>
      </c>
      <c r="M13" s="155">
        <v>89.958670676789353</v>
      </c>
      <c r="O13" s="154">
        <v>1644753.8512013699</v>
      </c>
      <c r="Q13" s="154">
        <v>840.45556650739923</v>
      </c>
      <c r="S13" s="157">
        <f t="shared" si="0"/>
        <v>0.76641673234362695</v>
      </c>
      <c r="T13" s="157">
        <f t="shared" si="1"/>
        <v>0.76641673234362695</v>
      </c>
      <c r="V13" s="154">
        <v>0.66666666666666663</v>
      </c>
      <c r="X13" s="157">
        <f t="shared" si="2"/>
        <v>0.51094448822908456</v>
      </c>
      <c r="Y13" s="157">
        <f t="shared" si="3"/>
        <v>0.51094448822908456</v>
      </c>
    </row>
    <row r="14" spans="1:28" x14ac:dyDescent="0.2">
      <c r="G14" s="155">
        <v>10</v>
      </c>
      <c r="H14" s="155" cm="1">
        <f t="array" ref="H14:M14">MMULT(H13:M13,m_P_quo)</f>
        <v>434.38845422363175</v>
      </c>
      <c r="I14" s="155">
        <v>131.66787502138425</v>
      </c>
      <c r="J14" s="155">
        <v>81.650967941198829</v>
      </c>
      <c r="K14" s="155">
        <v>33.168031006812996</v>
      </c>
      <c r="L14" s="155">
        <v>214.31729959108367</v>
      </c>
      <c r="M14" s="155">
        <v>104.80737221588839</v>
      </c>
      <c r="O14" s="154">
        <v>1675212.5383644497</v>
      </c>
      <c r="Q14" s="154">
        <v>823.77029725468321</v>
      </c>
      <c r="S14" s="157">
        <f t="shared" si="0"/>
        <v>0.74409391489672516</v>
      </c>
      <c r="T14" s="157">
        <f t="shared" si="1"/>
        <v>0.74409391489672516</v>
      </c>
      <c r="V14" s="154">
        <v>1.3333333333333333</v>
      </c>
      <c r="X14" s="157">
        <f t="shared" si="2"/>
        <v>0.99212521986230018</v>
      </c>
      <c r="Y14" s="157">
        <f t="shared" si="3"/>
        <v>0.99212521986230018</v>
      </c>
    </row>
    <row r="15" spans="1:28" x14ac:dyDescent="0.2">
      <c r="G15" s="155">
        <v>11</v>
      </c>
      <c r="H15" s="155" cm="1">
        <f t="array" ref="H15:M15">MMULT(H14:M14,m_P_quo)</f>
        <v>399.63737788574116</v>
      </c>
      <c r="I15" s="155">
        <v>132.81781983124969</v>
      </c>
      <c r="J15" s="155">
        <v>83.21940388122519</v>
      </c>
      <c r="K15" s="155">
        <v>33.175545236822643</v>
      </c>
      <c r="L15" s="155">
        <v>231.41686699600695</v>
      </c>
      <c r="M15" s="155">
        <v>119.73298616895424</v>
      </c>
      <c r="O15" s="154">
        <v>1697069.3026671098</v>
      </c>
      <c r="Q15" s="154">
        <v>807.39205602437357</v>
      </c>
      <c r="S15" s="157">
        <f t="shared" si="0"/>
        <v>0.72242127659876232</v>
      </c>
      <c r="T15" s="157">
        <f t="shared" si="1"/>
        <v>0.72242127659876232</v>
      </c>
      <c r="V15" s="154">
        <v>0.66666666666666663</v>
      </c>
      <c r="X15" s="157">
        <f t="shared" si="2"/>
        <v>0.48161418439917486</v>
      </c>
      <c r="Y15" s="157">
        <f t="shared" si="3"/>
        <v>0.48161418439917486</v>
      </c>
    </row>
    <row r="16" spans="1:28" x14ac:dyDescent="0.2">
      <c r="G16" s="155">
        <v>12</v>
      </c>
      <c r="H16" s="155" cm="1">
        <f t="array" ref="H16:M16">MMULT(H15:M15,m_P_quo)</f>
        <v>367.66638765488182</v>
      </c>
      <c r="I16" s="155">
        <v>133.61610867826136</v>
      </c>
      <c r="J16" s="155">
        <v>84.435792481216396</v>
      </c>
      <c r="K16" s="155">
        <v>33.067056979452516</v>
      </c>
      <c r="L16" s="155">
        <v>246.55267268066336</v>
      </c>
      <c r="M16" s="155">
        <v>134.66198152552442</v>
      </c>
      <c r="O16" s="154">
        <v>1712155.5380136063</v>
      </c>
      <c r="Q16" s="154">
        <v>791.32715551264846</v>
      </c>
      <c r="S16" s="157">
        <f t="shared" si="0"/>
        <v>0.70137988019297326</v>
      </c>
      <c r="T16" s="157">
        <f t="shared" si="1"/>
        <v>0.70137988019297326</v>
      </c>
      <c r="V16" s="154">
        <v>1.3333333333333333</v>
      </c>
      <c r="X16" s="157">
        <f t="shared" si="2"/>
        <v>0.93517317359063101</v>
      </c>
      <c r="Y16" s="157">
        <f t="shared" si="3"/>
        <v>0.93517317359063101</v>
      </c>
    </row>
    <row r="17" spans="7:25" x14ac:dyDescent="0.2">
      <c r="G17" s="155">
        <v>13</v>
      </c>
      <c r="H17" s="155" cm="1">
        <f t="array" ref="H17:M17">MMULT(H16:M16,m_P_quo)</f>
        <v>338.25307664249124</v>
      </c>
      <c r="I17" s="155">
        <v>134.11084691574115</v>
      </c>
      <c r="J17" s="155">
        <v>85.357400592659417</v>
      </c>
      <c r="K17" s="155">
        <v>32.875561238457536</v>
      </c>
      <c r="L17" s="155">
        <v>259.86095744437245</v>
      </c>
      <c r="M17" s="155">
        <v>149.54215716627806</v>
      </c>
      <c r="O17" s="154">
        <v>1721794.1387867345</v>
      </c>
      <c r="Q17" s="154">
        <v>775.5774879671302</v>
      </c>
      <c r="S17" s="157">
        <f t="shared" si="0"/>
        <v>0.68095133999317792</v>
      </c>
      <c r="T17" s="157">
        <f t="shared" si="1"/>
        <v>0.68095133999317792</v>
      </c>
      <c r="V17" s="154">
        <v>0.66666666666666663</v>
      </c>
      <c r="X17" s="157">
        <f t="shared" si="2"/>
        <v>0.45396755999545191</v>
      </c>
      <c r="Y17" s="157">
        <f t="shared" si="3"/>
        <v>0.45396755999545191</v>
      </c>
    </row>
    <row r="18" spans="7:25" x14ac:dyDescent="0.2">
      <c r="G18" s="155">
        <v>14</v>
      </c>
      <c r="H18" s="155" cm="1">
        <f t="array" ref="H18:M18">MMULT(H17:M17,m_P_quo)</f>
        <v>311.19283051109193</v>
      </c>
      <c r="I18" s="155">
        <v>134.33867010142654</v>
      </c>
      <c r="J18" s="155">
        <v>86.027412514161085</v>
      </c>
      <c r="K18" s="155">
        <v>32.623921474552589</v>
      </c>
      <c r="L18" s="155">
        <v>271.48100567518372</v>
      </c>
      <c r="M18" s="155">
        <v>164.33615972358396</v>
      </c>
      <c r="O18" s="154">
        <v>1726954.7233114541</v>
      </c>
      <c r="Q18" s="154">
        <v>760.14189020766503</v>
      </c>
      <c r="S18" s="157">
        <f t="shared" si="0"/>
        <v>0.66111780581861923</v>
      </c>
      <c r="T18" s="157">
        <f t="shared" si="1"/>
        <v>0.66111780581861923</v>
      </c>
      <c r="V18" s="154">
        <v>1.3333333333333333</v>
      </c>
      <c r="X18" s="157">
        <f t="shared" si="2"/>
        <v>0.8814904077581589</v>
      </c>
      <c r="Y18" s="157">
        <f t="shared" si="3"/>
        <v>0.8814904077581589</v>
      </c>
    </row>
    <row r="19" spans="7:25" x14ac:dyDescent="0.2">
      <c r="G19" s="155">
        <v>15</v>
      </c>
      <c r="H19" s="155" cm="1">
        <f t="array" ref="H19:M19">MMULT(H18:M18,m_P_quo)</f>
        <v>286.29740407020455</v>
      </c>
      <c r="I19" s="155">
        <v>134.32924828470831</v>
      </c>
      <c r="J19" s="155">
        <v>86.479417486347955</v>
      </c>
      <c r="K19" s="155">
        <v>32.328000919511382</v>
      </c>
      <c r="L19" s="155">
        <v>281.54900485209498</v>
      </c>
      <c r="M19" s="155">
        <v>179.01692438713263</v>
      </c>
      <c r="O19" s="154">
        <v>1728362.7269159502</v>
      </c>
      <c r="Q19" s="154">
        <v>745.01716391656919</v>
      </c>
      <c r="S19" s="157">
        <f t="shared" si="0"/>
        <v>0.64186194739671765</v>
      </c>
      <c r="T19" s="157">
        <f t="shared" si="1"/>
        <v>0.64186194739671765</v>
      </c>
      <c r="V19" s="154">
        <v>0.66666666666666663</v>
      </c>
      <c r="X19" s="157">
        <f t="shared" si="2"/>
        <v>0.42790796493114508</v>
      </c>
      <c r="Y19" s="157">
        <f t="shared" si="3"/>
        <v>0.42790796493114508</v>
      </c>
    </row>
    <row r="20" spans="7:25" x14ac:dyDescent="0.2">
      <c r="G20" s="155">
        <v>16</v>
      </c>
      <c r="H20" s="155" cm="1">
        <f t="array" ref="H20:M20">MMULT(H19:M19,m_P_quo)</f>
        <v>263.39361174458816</v>
      </c>
      <c r="I20" s="155">
        <v>134.10775294809756</v>
      </c>
      <c r="J20" s="155">
        <v>86.740373690264008</v>
      </c>
      <c r="K20" s="155">
        <v>31.998887123409929</v>
      </c>
      <c r="L20" s="155">
        <v>290.19484969272742</v>
      </c>
      <c r="M20" s="155">
        <v>193.56452480091275</v>
      </c>
      <c r="O20" s="154">
        <v>1726574.7013963312</v>
      </c>
      <c r="Q20" s="154">
        <v>730.19880623152005</v>
      </c>
      <c r="S20" s="157">
        <f t="shared" si="0"/>
        <v>0.62316693922011435</v>
      </c>
      <c r="T20" s="157">
        <f t="shared" si="1"/>
        <v>0.62316693922011435</v>
      </c>
      <c r="V20" s="154">
        <v>1.3333333333333333</v>
      </c>
      <c r="X20" s="157">
        <f t="shared" si="2"/>
        <v>0.83088925229348576</v>
      </c>
      <c r="Y20" s="157">
        <f t="shared" si="3"/>
        <v>0.83088925229348576</v>
      </c>
    </row>
    <row r="21" spans="7:25" x14ac:dyDescent="0.2">
      <c r="G21" s="155">
        <v>17</v>
      </c>
      <c r="H21" s="155" cm="1">
        <f t="array" ref="H21:M21">MMULT(H20:M20,m_P_quo)</f>
        <v>242.32212280502108</v>
      </c>
      <c r="I21" s="155">
        <v>133.69622365727878</v>
      </c>
      <c r="J21" s="155">
        <v>86.832558584666785</v>
      </c>
      <c r="K21" s="155">
        <v>31.64443573269045</v>
      </c>
      <c r="L21" s="155">
        <v>297.54063521389548</v>
      </c>
      <c r="M21" s="155">
        <v>207.96402400644723</v>
      </c>
      <c r="O21" s="154">
        <v>1722029.6062666131</v>
      </c>
      <c r="Q21" s="154">
        <v>715.6815165355091</v>
      </c>
      <c r="S21" s="157">
        <f t="shared" si="0"/>
        <v>0.60501644584477121</v>
      </c>
      <c r="T21" s="157">
        <f t="shared" si="1"/>
        <v>0.60501644584477121</v>
      </c>
      <c r="V21" s="154">
        <v>0.66666666666666663</v>
      </c>
      <c r="X21" s="157">
        <f t="shared" si="2"/>
        <v>0.40334429722984744</v>
      </c>
      <c r="Y21" s="157">
        <f t="shared" si="3"/>
        <v>0.40334429722984744</v>
      </c>
    </row>
    <row r="22" spans="7:25" x14ac:dyDescent="0.2">
      <c r="G22" s="155">
        <v>18</v>
      </c>
      <c r="H22" s="155" cm="1">
        <f t="array" ref="H22:M22">MMULT(H21:M21,m_P_quo)</f>
        <v>222.93635298061938</v>
      </c>
      <c r="I22" s="155">
        <v>133.11434296810518</v>
      </c>
      <c r="J22" s="155">
        <v>86.774853519957659</v>
      </c>
      <c r="K22" s="155">
        <v>31.270322882095456</v>
      </c>
      <c r="L22" s="155">
        <v>303.70010756306419</v>
      </c>
      <c r="M22" s="155">
        <v>222.20402008615793</v>
      </c>
      <c r="O22" s="154">
        <v>1715083.4387388104</v>
      </c>
      <c r="Q22" s="154">
        <v>701.45953921418732</v>
      </c>
      <c r="S22" s="157">
        <f t="shared" si="0"/>
        <v>0.5873946076162827</v>
      </c>
      <c r="T22" s="157">
        <f t="shared" si="1"/>
        <v>0.5873946076162827</v>
      </c>
      <c r="V22" s="154">
        <v>1.3333333333333333</v>
      </c>
      <c r="X22" s="157">
        <f t="shared" si="2"/>
        <v>0.78319281015504361</v>
      </c>
      <c r="Y22" s="157">
        <f t="shared" si="3"/>
        <v>0.78319281015504361</v>
      </c>
    </row>
    <row r="23" spans="7:25" x14ac:dyDescent="0.2">
      <c r="G23" s="155">
        <v>19</v>
      </c>
      <c r="H23" s="155" cm="1">
        <f t="array" ref="H23:M23">MMULT(H22:M22,m_P_quo)</f>
        <v>205.1014447421698</v>
      </c>
      <c r="I23" s="155">
        <v>132.37989401060364</v>
      </c>
      <c r="J23" s="155">
        <v>86.58359499065547</v>
      </c>
      <c r="K23" s="155">
        <v>30.880752998847569</v>
      </c>
      <c r="L23" s="155">
        <v>308.77864787462238</v>
      </c>
      <c r="M23" s="155">
        <v>236.27566538310089</v>
      </c>
      <c r="O23" s="154">
        <v>1706032.5078602601</v>
      </c>
      <c r="Q23" s="154">
        <v>687.52689047534273</v>
      </c>
      <c r="S23" s="157">
        <f t="shared" si="0"/>
        <v>0.57028602681192497</v>
      </c>
      <c r="T23" s="157">
        <f t="shared" si="1"/>
        <v>0.57028602681192497</v>
      </c>
      <c r="V23" s="154">
        <v>0.66666666666666663</v>
      </c>
      <c r="X23" s="157">
        <f t="shared" si="2"/>
        <v>0.3801906845412833</v>
      </c>
      <c r="Y23" s="157">
        <f t="shared" si="3"/>
        <v>0.3801906845412833</v>
      </c>
    </row>
    <row r="24" spans="7:25" x14ac:dyDescent="0.2">
      <c r="G24" s="155">
        <v>20</v>
      </c>
      <c r="H24" s="155" cm="1">
        <f t="array" ref="H24:M24">MMULT(H23:M23,m_P_quo)</f>
        <v>188.6933291627962</v>
      </c>
      <c r="I24" s="155">
        <v>131.50904788099587</v>
      </c>
      <c r="J24" s="155">
        <v>86.273145333970533</v>
      </c>
      <c r="K24" s="155">
        <v>30.478930195443805</v>
      </c>
      <c r="L24" s="155">
        <v>312.87354319421104</v>
      </c>
      <c r="M24" s="155">
        <v>250.17200423258228</v>
      </c>
      <c r="O24" s="154">
        <v>1695129.0751455831</v>
      </c>
      <c r="Q24" s="154">
        <v>673.87750539005185</v>
      </c>
      <c r="S24" s="157">
        <f t="shared" si="0"/>
        <v>0.55367575418633497</v>
      </c>
      <c r="T24" s="157">
        <f t="shared" si="1"/>
        <v>0.55367575418633497</v>
      </c>
      <c r="V24" s="154">
        <v>1.3333333333333333</v>
      </c>
      <c r="X24" s="157">
        <f t="shared" si="2"/>
        <v>0.73823433891511325</v>
      </c>
      <c r="Y24" s="157">
        <f t="shared" si="3"/>
        <v>0.73823433891511325</v>
      </c>
    </row>
    <row r="25" spans="7:25" x14ac:dyDescent="0.2">
      <c r="G25" s="155">
        <v>21</v>
      </c>
      <c r="H25" s="155" cm="1">
        <f t="array" ref="H25:M25">MMULT(H24:M24,m_P_quo)</f>
        <v>173.59786282977248</v>
      </c>
      <c r="I25" s="155">
        <v>130.51655916690677</v>
      </c>
      <c r="J25" s="155">
        <v>85.856282241220555</v>
      </c>
      <c r="K25" s="155">
        <v>30.067370189445448</v>
      </c>
      <c r="L25" s="155">
        <v>316.07440275212247</v>
      </c>
      <c r="M25" s="155">
        <v>263.88752282053201</v>
      </c>
      <c r="O25" s="154">
        <v>1682591.9165750344</v>
      </c>
      <c r="Q25" s="154">
        <v>660.50533117063378</v>
      </c>
      <c r="S25" s="157">
        <f t="shared" si="0"/>
        <v>0.5375492759090631</v>
      </c>
      <c r="T25" s="157">
        <f t="shared" si="1"/>
        <v>0.5375492759090631</v>
      </c>
      <c r="V25" s="154">
        <v>0.66666666666666663</v>
      </c>
      <c r="X25" s="157">
        <f t="shared" si="2"/>
        <v>0.35836618393937536</v>
      </c>
      <c r="Y25" s="157">
        <f t="shared" si="3"/>
        <v>0.35836618393937536</v>
      </c>
    </row>
    <row r="26" spans="7:25" x14ac:dyDescent="0.2">
      <c r="G26" s="155">
        <v>22</v>
      </c>
      <c r="H26" s="155" cm="1">
        <f t="array" ref="H26:M26">MMULT(H25:M25,m_P_quo)</f>
        <v>159.71003380339067</v>
      </c>
      <c r="I26" s="155">
        <v>129.41591098725132</v>
      </c>
      <c r="J26" s="155">
        <v>85.344471165096849</v>
      </c>
      <c r="K26" s="155">
        <v>29.648106059203535</v>
      </c>
      <c r="L26" s="155">
        <v>318.46363857927486</v>
      </c>
      <c r="M26" s="155">
        <v>277.41783940578244</v>
      </c>
      <c r="O26" s="154">
        <v>1668613.529831459</v>
      </c>
      <c r="Q26" s="154">
        <v>647.40438483101502</v>
      </c>
      <c r="S26" s="157">
        <f t="shared" si="0"/>
        <v>0.52189250088258554</v>
      </c>
      <c r="T26" s="157">
        <f t="shared" si="1"/>
        <v>0.52189250088258554</v>
      </c>
      <c r="V26" s="154">
        <v>1.3333333333333333</v>
      </c>
      <c r="X26" s="157">
        <f t="shared" si="2"/>
        <v>0.69585666784344735</v>
      </c>
      <c r="Y26" s="157">
        <f t="shared" si="3"/>
        <v>0.69585666784344735</v>
      </c>
    </row>
    <row r="27" spans="7:25" x14ac:dyDescent="0.2">
      <c r="G27" s="155">
        <v>23</v>
      </c>
      <c r="H27" s="155" cm="1">
        <f t="array" ref="H27:M27">MMULT(H26:M26,m_P_quo)</f>
        <v>146.93323109911941</v>
      </c>
      <c r="I27" s="155">
        <v>128.21943124806523</v>
      </c>
      <c r="J27" s="155">
        <v>84.748061705774958</v>
      </c>
      <c r="K27" s="155">
        <v>29.222824042400202</v>
      </c>
      <c r="L27" s="155">
        <v>320.11696477221585</v>
      </c>
      <c r="M27" s="155">
        <v>290.75948713242406</v>
      </c>
      <c r="O27" s="154">
        <v>1653365.1344482768</v>
      </c>
      <c r="Q27" s="154">
        <v>634.56878759738618</v>
      </c>
      <c r="S27" s="157">
        <f t="shared" si="0"/>
        <v>0.50669174842969467</v>
      </c>
      <c r="T27" s="157">
        <f t="shared" si="1"/>
        <v>0.50669174842969467</v>
      </c>
      <c r="V27" s="154">
        <v>0.66666666666666663</v>
      </c>
      <c r="X27" s="157">
        <f t="shared" si="2"/>
        <v>0.33779449895312974</v>
      </c>
      <c r="Y27" s="157">
        <f t="shared" si="3"/>
        <v>0.33779449895312974</v>
      </c>
    </row>
    <row r="28" spans="7:25" x14ac:dyDescent="0.2">
      <c r="G28" s="155">
        <v>24</v>
      </c>
      <c r="H28" s="155" cm="1">
        <f t="array" ref="H28:M28">MMULT(H27:M27,m_P_quo)</f>
        <v>135.17857261118985</v>
      </c>
      <c r="I28" s="155">
        <v>126.93839142870871</v>
      </c>
      <c r="J28" s="155">
        <v>84.076434210984672</v>
      </c>
      <c r="K28" s="155">
        <v>28.792953588057539</v>
      </c>
      <c r="L28" s="155">
        <v>321.10389020955472</v>
      </c>
      <c r="M28" s="155">
        <v>303.90975795150416</v>
      </c>
      <c r="O28" s="154">
        <v>1637000.2209527357</v>
      </c>
      <c r="Q28" s="154">
        <v>621.99278434903033</v>
      </c>
      <c r="S28" s="157">
        <f t="shared" si="0"/>
        <v>0.49193373633950943</v>
      </c>
      <c r="T28" s="157">
        <f t="shared" si="1"/>
        <v>0.49193373633950943</v>
      </c>
      <c r="V28" s="154">
        <v>1.3333333333333333</v>
      </c>
      <c r="X28" s="157">
        <f t="shared" si="2"/>
        <v>0.65591164845267924</v>
      </c>
      <c r="Y28" s="157">
        <f t="shared" si="3"/>
        <v>0.65591164845267924</v>
      </c>
    </row>
    <row r="29" spans="7:25" x14ac:dyDescent="0.2">
      <c r="G29" s="155">
        <v>25</v>
      </c>
      <c r="H29" s="155" cm="1">
        <f t="array" ref="H29:M29">MMULT(H28:M28,m_P_quo)</f>
        <v>124.36428680229466</v>
      </c>
      <c r="I29" s="155">
        <v>125.58309379072487</v>
      </c>
      <c r="J29" s="155">
        <v>83.338113311566076</v>
      </c>
      <c r="K29" s="155">
        <v>28.359727651788369</v>
      </c>
      <c r="L29" s="155">
        <v>321.48819137749558</v>
      </c>
      <c r="M29" s="155">
        <v>316.86658706613008</v>
      </c>
      <c r="O29" s="154">
        <v>1619657.1431186735</v>
      </c>
      <c r="Q29" s="154">
        <v>609.67075355260909</v>
      </c>
      <c r="S29" s="157">
        <f t="shared" si="0"/>
        <v>0.47760556926165965</v>
      </c>
      <c r="T29" s="157">
        <f t="shared" si="1"/>
        <v>0.47760556926165965</v>
      </c>
      <c r="V29" s="154">
        <v>0.66666666666666663</v>
      </c>
      <c r="X29" s="157">
        <f t="shared" si="2"/>
        <v>0.31840371284110641</v>
      </c>
      <c r="Y29" s="157">
        <f t="shared" si="3"/>
        <v>0.31840371284110641</v>
      </c>
    </row>
    <row r="30" spans="7:25" x14ac:dyDescent="0.2">
      <c r="G30" s="155">
        <v>26</v>
      </c>
      <c r="H30" s="155" cm="1">
        <f t="array" ref="H30:M30">MMULT(H29:M29,m_P_quo)</f>
        <v>114.41514385811108</v>
      </c>
      <c r="I30" s="155">
        <v>124.16295010741376</v>
      </c>
      <c r="J30" s="155">
        <v>82.540859053522212</v>
      </c>
      <c r="K30" s="155">
        <v>27.924223690652042</v>
      </c>
      <c r="L30" s="155">
        <v>321.32835878086564</v>
      </c>
      <c r="M30" s="155">
        <v>329.62846450943482</v>
      </c>
      <c r="O30" s="154">
        <v>1601461.0743707821</v>
      </c>
      <c r="Q30" s="154">
        <v>597.59721125109309</v>
      </c>
      <c r="S30" s="157">
        <f t="shared" si="0"/>
        <v>0.46369472743850448</v>
      </c>
      <c r="T30" s="157">
        <f t="shared" si="1"/>
        <v>0.46369472743850448</v>
      </c>
      <c r="V30" s="154">
        <v>1.3333333333333333</v>
      </c>
      <c r="X30" s="157">
        <f t="shared" si="2"/>
        <v>0.61825963658467264</v>
      </c>
      <c r="Y30" s="157">
        <f t="shared" si="3"/>
        <v>0.61825963658467264</v>
      </c>
    </row>
    <row r="31" spans="7:25" x14ac:dyDescent="0.2">
      <c r="G31" s="155">
        <v>27</v>
      </c>
      <c r="H31" s="155" cm="1">
        <f t="array" ref="H31:M31">MMULT(H30:M30,m_P_quo)</f>
        <v>105.26193234946219</v>
      </c>
      <c r="I31" s="155">
        <v>122.68655359348718</v>
      </c>
      <c r="J31" s="155">
        <v>81.691742443592801</v>
      </c>
      <c r="K31" s="155">
        <v>27.487392141935466</v>
      </c>
      <c r="L31" s="155">
        <v>320.67801430129373</v>
      </c>
      <c r="M31" s="155">
        <v>342.19436517022825</v>
      </c>
      <c r="O31" s="154">
        <v>1582525.5361869973</v>
      </c>
      <c r="Q31" s="154">
        <v>585.76681140400751</v>
      </c>
      <c r="S31" s="157">
        <f t="shared" si="0"/>
        <v>0.45018905576553836</v>
      </c>
      <c r="T31" s="157">
        <f t="shared" si="1"/>
        <v>0.45018905576553836</v>
      </c>
      <c r="V31" s="154">
        <v>0.66666666666666663</v>
      </c>
      <c r="X31" s="157">
        <f t="shared" si="2"/>
        <v>0.30012603717702557</v>
      </c>
      <c r="Y31" s="157">
        <f t="shared" si="3"/>
        <v>0.30012603717702557</v>
      </c>
    </row>
    <row r="32" spans="7:25" x14ac:dyDescent="0.2">
      <c r="G32" s="155">
        <v>28</v>
      </c>
      <c r="H32" s="155" cm="1">
        <f t="array" ref="H32:M32">MMULT(H31:M31,m_P_quo)</f>
        <v>96.840977761505201</v>
      </c>
      <c r="I32" s="155">
        <v>121.1617450055488</v>
      </c>
      <c r="J32" s="155">
        <v>80.797209794655089</v>
      </c>
      <c r="K32" s="155">
        <v>27.050076761001279</v>
      </c>
      <c r="L32" s="155">
        <v>319.58629904319002</v>
      </c>
      <c r="M32" s="155">
        <v>354.5636916340992</v>
      </c>
      <c r="O32" s="154">
        <v>1562953.6329072195</v>
      </c>
      <c r="Q32" s="154">
        <v>574.17434404558423</v>
      </c>
      <c r="S32" s="157">
        <f t="shared" si="0"/>
        <v>0.4370767531704256</v>
      </c>
      <c r="T32" s="157">
        <f t="shared" si="1"/>
        <v>0.4370767531704256</v>
      </c>
      <c r="V32" s="154">
        <v>1.3333333333333333</v>
      </c>
      <c r="X32" s="157">
        <f t="shared" si="2"/>
        <v>0.5827690042272341</v>
      </c>
      <c r="Y32" s="157">
        <f t="shared" si="3"/>
        <v>0.5827690042272341</v>
      </c>
    </row>
    <row r="33" spans="7:25" x14ac:dyDescent="0.2">
      <c r="G33" s="155">
        <v>29</v>
      </c>
      <c r="H33" s="155" cm="1">
        <f t="array" ref="H33:M33">MMULT(H32:M32,m_P_quo)</f>
        <v>89.09369954058478</v>
      </c>
      <c r="I33" s="155">
        <v>119.59567353573375</v>
      </c>
      <c r="J33" s="155">
        <v>79.863138722787596</v>
      </c>
      <c r="K33" s="155">
        <v>26.613029627313956</v>
      </c>
      <c r="L33" s="155">
        <v>318.09823239702973</v>
      </c>
      <c r="M33" s="155">
        <v>366.73622617654979</v>
      </c>
      <c r="O33" s="154">
        <v>1542839.0800134435</v>
      </c>
      <c r="Q33" s="154">
        <v>562.81473218822089</v>
      </c>
      <c r="S33" s="157">
        <f t="shared" si="0"/>
        <v>0.42434636230138412</v>
      </c>
      <c r="T33" s="157">
        <f t="shared" si="1"/>
        <v>0.42434636230138412</v>
      </c>
      <c r="V33" s="154">
        <v>0.66666666666666663</v>
      </c>
      <c r="X33" s="157">
        <f t="shared" si="2"/>
        <v>0.28289757486758937</v>
      </c>
      <c r="Y33" s="157">
        <f t="shared" si="3"/>
        <v>0.28289757486758937</v>
      </c>
    </row>
    <row r="34" spans="7:25" x14ac:dyDescent="0.2">
      <c r="G34" s="155">
        <v>30</v>
      </c>
      <c r="H34" s="155" cm="1">
        <f t="array" ref="H34:M34">MMULT(H33:M33,m_P_quo)</f>
        <v>81.966203577337993</v>
      </c>
      <c r="I34" s="155">
        <v>117.99485295109855</v>
      </c>
      <c r="J34" s="155">
        <v>78.894887679274802</v>
      </c>
      <c r="K34" s="155">
        <v>26.176922617480965</v>
      </c>
      <c r="L34" s="155">
        <v>316.25504366596624</v>
      </c>
      <c r="M34" s="155">
        <v>378.71208950884107</v>
      </c>
      <c r="O34" s="154">
        <v>1522267.0825710776</v>
      </c>
      <c r="Q34" s="154">
        <v>551.68302805155088</v>
      </c>
      <c r="S34" s="157">
        <f t="shared" si="0"/>
        <v>0.41198675951590691</v>
      </c>
      <c r="T34" s="157">
        <f t="shared" si="1"/>
        <v>0.41198675951590691</v>
      </c>
      <c r="V34" s="154">
        <v>0.33333333333333331</v>
      </c>
      <c r="X34" s="157">
        <f t="shared" si="2"/>
        <v>0.13732891983863563</v>
      </c>
      <c r="Y34" s="157">
        <f t="shared" si="3"/>
        <v>0.13732891983863563</v>
      </c>
    </row>
  </sheetData>
  <mergeCells count="2">
    <mergeCell ref="G1:M1"/>
    <mergeCell ref="S1:T1"/>
  </mergeCells>
  <phoneticPr fontId="6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0854-B147-0945-8887-E46A017C9F6A}">
  <dimension ref="A1:AB34"/>
  <sheetViews>
    <sheetView topLeftCell="K1" workbookViewId="0">
      <selection activeCell="E5" sqref="E5"/>
    </sheetView>
  </sheetViews>
  <sheetFormatPr baseColWidth="10" defaultRowHeight="15" x14ac:dyDescent="0.2"/>
  <cols>
    <col min="16" max="16" width="2.6640625" customWidth="1"/>
    <col min="28" max="28" width="11.6640625" bestFit="1" customWidth="1"/>
  </cols>
  <sheetData>
    <row r="1" spans="1:28" ht="52" thickBot="1" x14ac:dyDescent="0.25">
      <c r="G1" s="239" t="s">
        <v>193</v>
      </c>
      <c r="H1" s="239"/>
      <c r="I1" s="239"/>
      <c r="J1" s="239"/>
      <c r="K1" s="239"/>
      <c r="L1" s="239"/>
      <c r="M1" s="239"/>
      <c r="N1" s="147"/>
      <c r="O1" s="148" t="s">
        <v>194</v>
      </c>
      <c r="P1" s="149"/>
      <c r="Q1" s="148" t="s">
        <v>195</v>
      </c>
      <c r="R1" s="150"/>
      <c r="S1" s="239" t="s">
        <v>196</v>
      </c>
      <c r="T1" s="239"/>
      <c r="U1" s="147"/>
      <c r="V1" s="148" t="s">
        <v>197</v>
      </c>
      <c r="W1" s="150"/>
      <c r="X1" s="148" t="s">
        <v>198</v>
      </c>
      <c r="Y1" s="148" t="s">
        <v>199</v>
      </c>
      <c r="Z1" s="149"/>
      <c r="AA1" s="61"/>
      <c r="AB1" s="61"/>
    </row>
    <row r="2" spans="1:28" ht="17" thickBot="1" x14ac:dyDescent="0.25">
      <c r="A2" s="60" t="s">
        <v>187</v>
      </c>
      <c r="B2" s="61"/>
      <c r="C2" s="61"/>
      <c r="D2" s="61"/>
      <c r="E2" s="61"/>
      <c r="G2" s="151"/>
      <c r="H2" s="151"/>
      <c r="I2" s="151"/>
      <c r="J2" s="151"/>
      <c r="K2" s="151"/>
      <c r="L2" s="151"/>
      <c r="M2" s="151"/>
      <c r="N2" s="15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152" t="s">
        <v>200</v>
      </c>
      <c r="AB2" s="160" cm="1">
        <f t="array" ref="AB2">MMULT(TRANSPOSE(w_c_trtA),cost_trtA)</f>
        <v>77860259.701636553</v>
      </c>
    </row>
    <row r="3" spans="1:28" ht="17" thickBot="1" x14ac:dyDescent="0.25">
      <c r="A3" s="61"/>
      <c r="B3" s="141" t="s">
        <v>188</v>
      </c>
      <c r="C3" s="141" t="s">
        <v>171</v>
      </c>
      <c r="D3" s="142" t="s">
        <v>189</v>
      </c>
      <c r="E3" s="142" t="s">
        <v>190</v>
      </c>
      <c r="G3" s="153" t="s">
        <v>3</v>
      </c>
      <c r="H3" s="153" t="s">
        <v>7</v>
      </c>
      <c r="I3" s="153" t="s">
        <v>8</v>
      </c>
      <c r="J3" s="153" t="s">
        <v>9</v>
      </c>
      <c r="K3" s="141" t="s">
        <v>10</v>
      </c>
      <c r="L3" s="141" t="s">
        <v>11</v>
      </c>
      <c r="M3" s="141" t="s">
        <v>12</v>
      </c>
      <c r="N3" s="60"/>
      <c r="O3" s="142" t="s">
        <v>201</v>
      </c>
      <c r="P3" s="61"/>
      <c r="Q3" s="142" t="s">
        <v>202</v>
      </c>
      <c r="R3" s="61"/>
      <c r="S3" s="142" t="s">
        <v>203</v>
      </c>
      <c r="T3" s="142" t="s">
        <v>204</v>
      </c>
      <c r="U3" s="60"/>
      <c r="V3" s="142" t="s">
        <v>212</v>
      </c>
      <c r="W3" s="60"/>
      <c r="X3" s="142" t="s">
        <v>205</v>
      </c>
      <c r="Y3" s="142" t="s">
        <v>206</v>
      </c>
      <c r="Z3" s="61"/>
      <c r="AA3" s="152" t="s">
        <v>207</v>
      </c>
      <c r="AB3" s="161" cm="1">
        <f t="array" ref="AB3">MMULT(TRANSPOSE(w_e_trtA),qaly_trtA)</f>
        <v>15945.958774151313</v>
      </c>
    </row>
    <row r="4" spans="1:28" ht="16" x14ac:dyDescent="0.2">
      <c r="A4" s="61"/>
      <c r="B4" s="143" t="s">
        <v>241</v>
      </c>
      <c r="C4" s="143" t="s">
        <v>7</v>
      </c>
      <c r="D4" s="146">
        <v>0</v>
      </c>
      <c r="E4" s="144">
        <f>uHealthy</f>
        <v>1</v>
      </c>
      <c r="G4" s="155">
        <v>0</v>
      </c>
      <c r="H4" s="155">
        <v>1000</v>
      </c>
      <c r="I4" s="155">
        <v>0</v>
      </c>
      <c r="J4" s="155">
        <v>0</v>
      </c>
      <c r="K4" s="155">
        <v>0</v>
      </c>
      <c r="L4" s="155">
        <v>0</v>
      </c>
      <c r="M4" s="155">
        <v>0</v>
      </c>
      <c r="N4" s="61"/>
      <c r="O4" s="156" cm="1">
        <f t="array" ref="O4:O34">MMULT(H4:M34,costs_trtA)</f>
        <v>0</v>
      </c>
      <c r="P4" s="61"/>
      <c r="Q4" s="154" cm="1">
        <f t="array" ref="Q4:Q34">MMULT(H4:M34,qalys_trtA)</f>
        <v>1000</v>
      </c>
      <c r="R4" s="61"/>
      <c r="S4" s="157">
        <f t="shared" ref="S4:S34" si="0">1/(1+discount_rate)^G4</f>
        <v>1</v>
      </c>
      <c r="T4" s="157">
        <f t="shared" ref="T4:T34" si="1">1/(1+discount_rate)^G4</f>
        <v>1</v>
      </c>
      <c r="U4" s="158"/>
      <c r="V4" s="157">
        <v>0.33333333333333331</v>
      </c>
      <c r="W4" s="159"/>
      <c r="X4" s="157">
        <f>S4*V4</f>
        <v>0.33333333333333331</v>
      </c>
      <c r="Y4" s="157">
        <f>T4*V4</f>
        <v>0.33333333333333331</v>
      </c>
      <c r="Z4" s="61"/>
      <c r="AA4" s="61"/>
      <c r="AB4" s="61"/>
    </row>
    <row r="5" spans="1:28" x14ac:dyDescent="0.2">
      <c r="A5" s="61"/>
      <c r="B5" s="143"/>
      <c r="C5" s="143" t="s">
        <v>8</v>
      </c>
      <c r="D5" s="144">
        <f>cTreatmentStage1+nVisitsStage1*cVisit</f>
        <v>1600</v>
      </c>
      <c r="E5" s="144">
        <f>uStage1</f>
        <v>0.88</v>
      </c>
      <c r="G5" s="155">
        <v>1</v>
      </c>
      <c r="H5" s="155" cm="1">
        <f t="array" ref="H5:M5">MMULT(H4:M4,m_P_trtA)</f>
        <v>919.99999999999989</v>
      </c>
      <c r="I5" s="155">
        <v>50.000000000000043</v>
      </c>
      <c r="J5" s="155">
        <v>20.000000000000018</v>
      </c>
      <c r="K5" s="155">
        <v>10.000000000000009</v>
      </c>
      <c r="L5" s="155">
        <v>0</v>
      </c>
      <c r="M5" s="155">
        <v>0</v>
      </c>
      <c r="O5" s="154">
        <v>456000.00000000035</v>
      </c>
      <c r="Q5" s="154">
        <v>981.8</v>
      </c>
      <c r="S5" s="157">
        <f t="shared" si="0"/>
        <v>0.970873786407767</v>
      </c>
      <c r="T5" s="157">
        <f t="shared" si="1"/>
        <v>0.970873786407767</v>
      </c>
      <c r="V5" s="154">
        <v>0.66666666666666663</v>
      </c>
      <c r="X5" s="157">
        <f t="shared" ref="X5:X34" si="2">S5*V5</f>
        <v>0.6472491909385113</v>
      </c>
      <c r="Y5" s="157">
        <f t="shared" ref="Y5:Y34" si="3">T5*V5</f>
        <v>0.6472491909385113</v>
      </c>
    </row>
    <row r="6" spans="1:28" x14ac:dyDescent="0.2">
      <c r="A6" s="61"/>
      <c r="B6" s="143"/>
      <c r="C6" s="143" t="s">
        <v>9</v>
      </c>
      <c r="D6" s="144">
        <f>cTreatmentStage2+nVisitsStage2*cVisit</f>
        <v>7200</v>
      </c>
      <c r="E6" s="144">
        <f>uStage2</f>
        <v>0.71</v>
      </c>
      <c r="G6" s="155">
        <v>2</v>
      </c>
      <c r="H6" s="155" cm="1">
        <f t="array" ref="H6:M6">MMULT(H5:M5,m_P_trtA)</f>
        <v>846.39999999999986</v>
      </c>
      <c r="I6" s="155">
        <v>79.500000000000057</v>
      </c>
      <c r="J6" s="155">
        <v>35.90000000000002</v>
      </c>
      <c r="K6" s="155">
        <v>17.200000000000014</v>
      </c>
      <c r="L6" s="155">
        <v>16.500000000000014</v>
      </c>
      <c r="M6" s="155">
        <v>4.5000000000000044</v>
      </c>
      <c r="O6" s="154">
        <v>951370.00000000058</v>
      </c>
      <c r="Q6" s="154">
        <v>963.71600000000001</v>
      </c>
      <c r="S6" s="157">
        <f t="shared" si="0"/>
        <v>0.94259590913375435</v>
      </c>
      <c r="T6" s="157">
        <f t="shared" si="1"/>
        <v>0.94259590913375435</v>
      </c>
      <c r="V6" s="154">
        <v>1.3333333333333333</v>
      </c>
      <c r="X6" s="157">
        <f t="shared" si="2"/>
        <v>1.2567945455116725</v>
      </c>
      <c r="Y6" s="157">
        <f t="shared" si="3"/>
        <v>1.2567945455116725</v>
      </c>
    </row>
    <row r="7" spans="1:28" x14ac:dyDescent="0.2">
      <c r="A7" s="61"/>
      <c r="B7" s="143"/>
      <c r="C7" s="143" t="s">
        <v>10</v>
      </c>
      <c r="D7" s="144">
        <f>cTreatmentStage3+nVisitsStage3*cVisit</f>
        <v>23200</v>
      </c>
      <c r="E7" s="144">
        <f>uStage3</f>
        <v>0.36</v>
      </c>
      <c r="G7" s="155">
        <v>3</v>
      </c>
      <c r="H7" s="155" cm="1">
        <f t="array" ref="H7:M7">MMULT(H6:M6,m_P_trtA)</f>
        <v>778.68799999999976</v>
      </c>
      <c r="I7" s="155">
        <v>96.120000000000061</v>
      </c>
      <c r="J7" s="155">
        <v>47.443000000000019</v>
      </c>
      <c r="K7" s="155">
        <v>22.449000000000012</v>
      </c>
      <c r="L7" s="155">
        <v>43.060000000000031</v>
      </c>
      <c r="M7" s="155">
        <v>12.240000000000011</v>
      </c>
      <c r="O7" s="154">
        <v>1451104.4000000008</v>
      </c>
      <c r="Q7" s="154">
        <v>945.94676999999979</v>
      </c>
      <c r="S7" s="157">
        <f t="shared" si="0"/>
        <v>0.91514165935315961</v>
      </c>
      <c r="T7" s="157">
        <f t="shared" si="1"/>
        <v>0.91514165935315961</v>
      </c>
      <c r="V7" s="154">
        <v>0.66666666666666663</v>
      </c>
      <c r="X7" s="157">
        <f t="shared" si="2"/>
        <v>0.61009443956877307</v>
      </c>
      <c r="Y7" s="157">
        <f t="shared" si="3"/>
        <v>0.61009443956877307</v>
      </c>
    </row>
    <row r="8" spans="1:28" x14ac:dyDescent="0.2">
      <c r="A8" s="61"/>
      <c r="B8" s="143"/>
      <c r="C8" s="145" t="s">
        <v>11</v>
      </c>
      <c r="D8" s="144">
        <f>nVisitsRemission*cVisit+cTrtA</f>
        <v>10100</v>
      </c>
      <c r="E8" s="104">
        <f>uRemission</f>
        <v>0.95</v>
      </c>
      <c r="G8" s="155">
        <v>4</v>
      </c>
      <c r="H8" s="155" cm="1">
        <f t="array" ref="H8:M8">MMULT(H7:M7,m_P_trtA)</f>
        <v>716.39295999999968</v>
      </c>
      <c r="I8" s="155">
        <v>104.64575000000008</v>
      </c>
      <c r="J8" s="155">
        <v>55.204610000000017</v>
      </c>
      <c r="K8" s="155">
        <v>26.12783000000001</v>
      </c>
      <c r="L8" s="155">
        <v>75.286800000000056</v>
      </c>
      <c r="M8" s="155">
        <v>22.342050000000015</v>
      </c>
      <c r="O8" s="154">
        <v>1931468.7280000011</v>
      </c>
      <c r="Q8" s="154">
        <v>928.60497189999978</v>
      </c>
      <c r="S8" s="157">
        <f t="shared" si="0"/>
        <v>0.888487047915689</v>
      </c>
      <c r="T8" s="157">
        <f t="shared" si="1"/>
        <v>0.888487047915689</v>
      </c>
      <c r="V8" s="154">
        <v>1.3333333333333333</v>
      </c>
      <c r="X8" s="157">
        <f t="shared" si="2"/>
        <v>1.1846493972209187</v>
      </c>
      <c r="Y8" s="157">
        <f t="shared" si="3"/>
        <v>1.1846493972209187</v>
      </c>
    </row>
    <row r="9" spans="1:28" x14ac:dyDescent="0.2">
      <c r="A9" s="61"/>
      <c r="B9" s="143"/>
      <c r="C9" s="145" t="s">
        <v>12</v>
      </c>
      <c r="D9" s="144">
        <f>0</f>
        <v>0</v>
      </c>
      <c r="E9" s="104">
        <f>0</f>
        <v>0</v>
      </c>
      <c r="G9" s="155">
        <v>5</v>
      </c>
      <c r="H9" s="155" cm="1">
        <f t="array" ref="H9:M9">MMULT(H8:M8,m_P_trtA)</f>
        <v>659.08152319999965</v>
      </c>
      <c r="I9" s="155">
        <v>108.10535200000007</v>
      </c>
      <c r="J9" s="155">
        <v>59.974459700000018</v>
      </c>
      <c r="K9" s="155">
        <v>28.508536100000008</v>
      </c>
      <c r="L9" s="155">
        <v>110.23055550000007</v>
      </c>
      <c r="M9" s="155">
        <v>34.09957350000002</v>
      </c>
      <c r="O9" s="154">
        <v>2379511.3211100008</v>
      </c>
      <c r="Q9" s="154">
        <v>911.77820006799971</v>
      </c>
      <c r="S9" s="157">
        <f t="shared" si="0"/>
        <v>0.86260878438416411</v>
      </c>
      <c r="T9" s="157">
        <f t="shared" si="1"/>
        <v>0.86260878438416411</v>
      </c>
      <c r="V9" s="154">
        <v>0.66666666666666663</v>
      </c>
      <c r="X9" s="157">
        <f t="shared" si="2"/>
        <v>0.575072522922776</v>
      </c>
      <c r="Y9" s="157">
        <f t="shared" si="3"/>
        <v>0.575072522922776</v>
      </c>
    </row>
    <row r="10" spans="1:28" x14ac:dyDescent="0.2">
      <c r="G10" s="155">
        <v>6</v>
      </c>
      <c r="H10" s="155" cm="1">
        <f t="array" ref="H10:M10">MMULT(H9:M9,m_P_trtA)</f>
        <v>606.35500134399967</v>
      </c>
      <c r="I10" s="155">
        <v>108.42588905500006</v>
      </c>
      <c r="J10" s="155">
        <v>62.504573844000014</v>
      </c>
      <c r="K10" s="155">
        <v>29.841252237000006</v>
      </c>
      <c r="L10" s="155">
        <v>145.94486877500009</v>
      </c>
      <c r="M10" s="155">
        <v>46.928414745000026</v>
      </c>
      <c r="O10" s="154">
        <v>2789874.5806907015</v>
      </c>
      <c r="Q10" s="154">
        <v>895.53850728320981</v>
      </c>
      <c r="S10" s="157">
        <f t="shared" si="0"/>
        <v>0.83748425668365445</v>
      </c>
      <c r="T10" s="157">
        <f t="shared" si="1"/>
        <v>0.83748425668365445</v>
      </c>
      <c r="V10" s="154">
        <v>1.3333333333333333</v>
      </c>
      <c r="X10" s="157">
        <f t="shared" si="2"/>
        <v>1.1166456755782059</v>
      </c>
      <c r="Y10" s="157">
        <f t="shared" si="3"/>
        <v>1.1166456755782059</v>
      </c>
    </row>
    <row r="11" spans="1:28" x14ac:dyDescent="0.2">
      <c r="G11" s="155">
        <v>7</v>
      </c>
      <c r="H11" s="155" cm="1">
        <f t="array" ref="H11:M11">MMULT(H10:M10,m_P_trtA)</f>
        <v>557.84660123647961</v>
      </c>
      <c r="I11" s="155">
        <v>106.83870402065006</v>
      </c>
      <c r="J11" s="155">
        <v>63.423944538380013</v>
      </c>
      <c r="K11" s="155">
        <v>30.359862208540008</v>
      </c>
      <c r="L11" s="155">
        <v>181.17390974430009</v>
      </c>
      <c r="M11" s="155">
        <v>60.356978251650027</v>
      </c>
      <c r="O11" s="154">
        <v>3161799.6187649351</v>
      </c>
      <c r="Q11" s="154">
        <v>879.94042604906099</v>
      </c>
      <c r="S11" s="157">
        <f t="shared" si="0"/>
        <v>0.81309151134335378</v>
      </c>
      <c r="T11" s="157">
        <f t="shared" si="1"/>
        <v>0.81309151134335378</v>
      </c>
      <c r="V11" s="154">
        <v>0.66666666666666663</v>
      </c>
      <c r="X11" s="157">
        <f t="shared" si="2"/>
        <v>0.54206100756223585</v>
      </c>
      <c r="Y11" s="157">
        <f t="shared" si="3"/>
        <v>0.54206100756223585</v>
      </c>
    </row>
    <row r="12" spans="1:28" x14ac:dyDescent="0.2">
      <c r="G12" s="155">
        <v>8</v>
      </c>
      <c r="H12" s="155" cm="1">
        <f t="array" ref="H12:M12">MMULT(H11:M11,m_P_trtA)</f>
        <v>513.21887313756122</v>
      </c>
      <c r="I12" s="155">
        <v>104.13216309705155</v>
      </c>
      <c r="J12" s="155">
        <v>63.224901357692609</v>
      </c>
      <c r="K12" s="155">
        <v>30.271988797391806</v>
      </c>
      <c r="L12" s="155">
        <v>215.13315736480959</v>
      </c>
      <c r="M12" s="155">
        <v>74.018916245493031</v>
      </c>
      <c r="O12" s="154">
        <v>3496985.7802147362</v>
      </c>
      <c r="Q12" s="154">
        <v>865.0192720905585</v>
      </c>
      <c r="S12" s="157">
        <f t="shared" si="0"/>
        <v>0.78940923431393573</v>
      </c>
      <c r="T12" s="157">
        <f t="shared" si="1"/>
        <v>0.78940923431393573</v>
      </c>
      <c r="V12" s="154">
        <v>1.3333333333333333</v>
      </c>
      <c r="X12" s="157">
        <f t="shared" si="2"/>
        <v>1.0525456457519142</v>
      </c>
      <c r="Y12" s="157">
        <f t="shared" si="3"/>
        <v>1.0525456457519142</v>
      </c>
    </row>
    <row r="13" spans="1:28" x14ac:dyDescent="0.2">
      <c r="G13" s="155">
        <v>9</v>
      </c>
      <c r="H13" s="155" cm="1">
        <f t="array" ref="H13:M13">MMULT(H12:M12,m_P_trtA)</f>
        <v>472.16136328655631</v>
      </c>
      <c r="I13" s="155">
        <v>100.81075788514242</v>
      </c>
      <c r="J13" s="155">
        <v>62.277465600589636</v>
      </c>
      <c r="K13" s="155">
        <v>29.751918333725413</v>
      </c>
      <c r="L13" s="155">
        <v>247.35718368966673</v>
      </c>
      <c r="M13" s="155">
        <v>87.641311204319351</v>
      </c>
      <c r="O13" s="154">
        <v>3798247.0255485368</v>
      </c>
      <c r="Q13" s="154">
        <v>850.7918459072248</v>
      </c>
      <c r="S13" s="157">
        <f t="shared" si="0"/>
        <v>0.76641673234362695</v>
      </c>
      <c r="T13" s="157">
        <f t="shared" si="1"/>
        <v>0.76641673234362695</v>
      </c>
      <c r="V13" s="154">
        <v>0.66666666666666663</v>
      </c>
      <c r="X13" s="157">
        <f t="shared" si="2"/>
        <v>0.51094448822908456</v>
      </c>
      <c r="Y13" s="157">
        <f t="shared" si="3"/>
        <v>0.51094448822908456</v>
      </c>
    </row>
    <row r="14" spans="1:28" x14ac:dyDescent="0.2">
      <c r="G14" s="155">
        <v>10</v>
      </c>
      <c r="H14" s="155" cm="1">
        <f t="array" ref="H14:M14">MMULT(H13:M13,m_P_trtA)</f>
        <v>434.38845422363175</v>
      </c>
      <c r="I14" s="155">
        <v>97.19607774349322</v>
      </c>
      <c r="J14" s="155">
        <v>60.851950168182078</v>
      </c>
      <c r="K14" s="155">
        <v>28.939192639816717</v>
      </c>
      <c r="L14" s="155">
        <v>277.59465077038027</v>
      </c>
      <c r="M14" s="155">
        <v>101.02967445449579</v>
      </c>
      <c r="O14" s="154">
        <v>4068743.007625089</v>
      </c>
      <c r="Q14" s="154">
        <v>837.25891483951034</v>
      </c>
      <c r="S14" s="157">
        <f t="shared" si="0"/>
        <v>0.74409391489672516</v>
      </c>
      <c r="T14" s="157">
        <f t="shared" si="1"/>
        <v>0.74409391489672516</v>
      </c>
      <c r="V14" s="154">
        <v>1.3333333333333333</v>
      </c>
      <c r="X14" s="157">
        <f t="shared" si="2"/>
        <v>0.99212521986230018</v>
      </c>
      <c r="Y14" s="157">
        <f t="shared" si="3"/>
        <v>0.99212521986230018</v>
      </c>
    </row>
    <row r="15" spans="1:28" x14ac:dyDescent="0.2">
      <c r="G15" s="155">
        <v>11</v>
      </c>
      <c r="H15" s="155" cm="1">
        <f t="array" ref="H15:M15">MMULT(H14:M14,m_P_trtA)</f>
        <v>399.63737788574116</v>
      </c>
      <c r="I15" s="155">
        <v>93.491363768268911</v>
      </c>
      <c r="J15" s="155">
        <v>59.141453099425846</v>
      </c>
      <c r="K15" s="155">
        <v>27.941273387371993</v>
      </c>
      <c r="L15" s="155">
        <v>305.73622071677858</v>
      </c>
      <c r="M15" s="155">
        <v>114.05231114241332</v>
      </c>
      <c r="O15" s="154">
        <v>4311578.0161715895</v>
      </c>
      <c r="Q15" s="154">
        <v>824.40847780280376</v>
      </c>
      <c r="S15" s="157">
        <f t="shared" si="0"/>
        <v>0.72242127659876232</v>
      </c>
      <c r="T15" s="157">
        <f t="shared" si="1"/>
        <v>0.72242127659876232</v>
      </c>
      <c r="V15" s="154">
        <v>0.66666666666666663</v>
      </c>
      <c r="X15" s="157">
        <f t="shared" si="2"/>
        <v>0.48161418439917486</v>
      </c>
      <c r="Y15" s="157">
        <f t="shared" si="3"/>
        <v>0.48161418439917486</v>
      </c>
    </row>
    <row r="16" spans="1:28" x14ac:dyDescent="0.2">
      <c r="G16" s="155">
        <v>12</v>
      </c>
      <c r="H16" s="155" cm="1">
        <f t="array" ref="H16:M16">MMULT(H15:M15,m_P_trtA)</f>
        <v>367.66638765488182</v>
      </c>
      <c r="I16" s="155">
        <v>89.82305241296875</v>
      </c>
      <c r="J16" s="155">
        <v>57.281181670733609</v>
      </c>
      <c r="K16" s="155">
        <v>26.838228437457289</v>
      </c>
      <c r="L16" s="155">
        <v>331.76526565722759</v>
      </c>
      <c r="M16" s="155">
        <v>126.62588416673071</v>
      </c>
      <c r="O16" s="154">
        <v>4529617.4747770391</v>
      </c>
      <c r="Q16" s="154">
        <v>812.21907737636593</v>
      </c>
      <c r="S16" s="157">
        <f t="shared" si="0"/>
        <v>0.70137988019297326</v>
      </c>
      <c r="T16" s="157">
        <f t="shared" si="1"/>
        <v>0.70137988019297326</v>
      </c>
      <c r="V16" s="154">
        <v>1.3333333333333333</v>
      </c>
      <c r="X16" s="157">
        <f t="shared" si="2"/>
        <v>0.93517317359063101</v>
      </c>
      <c r="Y16" s="157">
        <f t="shared" si="3"/>
        <v>0.93517317359063101</v>
      </c>
    </row>
    <row r="17" spans="7:25" x14ac:dyDescent="0.2">
      <c r="G17" s="155">
        <v>13</v>
      </c>
      <c r="H17" s="155" cm="1">
        <f t="array" ref="H17:M17">MMULT(H16:M16,m_P_trtA)</f>
        <v>338.25307664249124</v>
      </c>
      <c r="I17" s="155">
        <v>86.267667847855023</v>
      </c>
      <c r="J17" s="155">
        <v>55.363906075279814</v>
      </c>
      <c r="K17" s="155">
        <v>25.687955345887509</v>
      </c>
      <c r="L17" s="155">
        <v>355.72430712489961</v>
      </c>
      <c r="M17" s="155">
        <v>138.70308696358649</v>
      </c>
      <c r="O17" s="154">
        <v>4725424.4582846593</v>
      </c>
      <c r="Q17" s="154">
        <v>800.66275335522641</v>
      </c>
      <c r="S17" s="157">
        <f t="shared" si="0"/>
        <v>0.68095133999317792</v>
      </c>
      <c r="T17" s="157">
        <f t="shared" si="1"/>
        <v>0.68095133999317792</v>
      </c>
      <c r="V17" s="154">
        <v>0.66666666666666663</v>
      </c>
      <c r="X17" s="157">
        <f t="shared" si="2"/>
        <v>0.45396755999545191</v>
      </c>
      <c r="Y17" s="157">
        <f t="shared" si="3"/>
        <v>0.45396755999545191</v>
      </c>
    </row>
    <row r="18" spans="7:25" x14ac:dyDescent="0.2">
      <c r="G18" s="155">
        <v>14</v>
      </c>
      <c r="H18" s="155" cm="1">
        <f t="array" ref="H18:M18">MMULT(H17:M17,m_P_trtA)</f>
        <v>311.19283051109193</v>
      </c>
      <c r="I18" s="155">
        <v>82.869319379492325</v>
      </c>
      <c r="J18" s="155">
        <v>53.451812801346591</v>
      </c>
      <c r="K18" s="155">
        <v>24.531094350660641</v>
      </c>
      <c r="L18" s="155">
        <v>377.69227608817238</v>
      </c>
      <c r="M18" s="155">
        <v>150.26266686923586</v>
      </c>
      <c r="O18" s="154">
        <v>4901257.3406027509</v>
      </c>
      <c r="Q18" s="154">
        <v>789.70747490400288</v>
      </c>
      <c r="S18" s="157">
        <f t="shared" si="0"/>
        <v>0.66111780581861923</v>
      </c>
      <c r="T18" s="157">
        <f t="shared" si="1"/>
        <v>0.66111780581861923</v>
      </c>
      <c r="V18" s="154">
        <v>1.3333333333333333</v>
      </c>
      <c r="X18" s="157">
        <f t="shared" si="2"/>
        <v>0.8814904077581589</v>
      </c>
      <c r="Y18" s="157">
        <f t="shared" si="3"/>
        <v>0.8814904077581589</v>
      </c>
    </row>
    <row r="19" spans="7:25" x14ac:dyDescent="0.2">
      <c r="G19" s="155">
        <v>15</v>
      </c>
      <c r="H19" s="155" cm="1">
        <f t="array" ref="H19:M19">MMULT(H18:M18,m_P_trtA)</f>
        <v>286.29740407020455</v>
      </c>
      <c r="I19" s="155">
        <v>79.6511352840554</v>
      </c>
      <c r="J19" s="155">
        <v>51.585353707393786</v>
      </c>
      <c r="K19" s="155">
        <v>23.395247400643228</v>
      </c>
      <c r="L19" s="155">
        <v>397.76920021066962</v>
      </c>
      <c r="M19" s="155">
        <v>161.30165932703315</v>
      </c>
      <c r="O19" s="154">
        <v>5059095.0249704104</v>
      </c>
      <c r="Q19" s="154">
        <v>779.31903351679057</v>
      </c>
      <c r="S19" s="157">
        <f t="shared" si="0"/>
        <v>0.64186194739671765</v>
      </c>
      <c r="T19" s="157">
        <f t="shared" si="1"/>
        <v>0.64186194739671765</v>
      </c>
      <c r="V19" s="154">
        <v>0.66666666666666663</v>
      </c>
      <c r="X19" s="157">
        <f t="shared" si="2"/>
        <v>0.42790796493114508</v>
      </c>
      <c r="Y19" s="157">
        <f t="shared" si="3"/>
        <v>0.42790796493114508</v>
      </c>
    </row>
    <row r="20" spans="7:25" x14ac:dyDescent="0.2">
      <c r="G20" s="155">
        <v>16</v>
      </c>
      <c r="H20" s="155" cm="1">
        <f t="array" ref="H20:M20">MMULT(H19:M19,m_P_trtA)</f>
        <v>263.39361174458816</v>
      </c>
      <c r="I20" s="155">
        <v>76.62275982772934</v>
      </c>
      <c r="J20" s="155">
        <v>49.789728206384758</v>
      </c>
      <c r="K20" s="155">
        <v>22.298400797132729</v>
      </c>
      <c r="L20" s="155">
        <v>416.06597876684214</v>
      </c>
      <c r="M20" s="155">
        <v>171.8295206573226</v>
      </c>
      <c r="O20" s="154">
        <v>5200671.7428489225</v>
      </c>
      <c r="Q20" s="154">
        <v>769.46245153499103</v>
      </c>
      <c r="S20" s="157">
        <f t="shared" si="0"/>
        <v>0.62316693922011435</v>
      </c>
      <c r="T20" s="157">
        <f t="shared" si="1"/>
        <v>0.62316693922011435</v>
      </c>
      <c r="V20" s="154">
        <v>1.3333333333333333</v>
      </c>
      <c r="X20" s="157">
        <f t="shared" si="2"/>
        <v>0.83088925229348576</v>
      </c>
      <c r="Y20" s="157">
        <f t="shared" si="3"/>
        <v>0.83088925229348576</v>
      </c>
    </row>
    <row r="21" spans="7:25" x14ac:dyDescent="0.2">
      <c r="G21" s="155">
        <v>17</v>
      </c>
      <c r="H21" s="155" cm="1">
        <f t="array" ref="H21:M21">MMULT(H20:M20,m_P_trtA)</f>
        <v>242.32212280502108</v>
      </c>
      <c r="I21" s="155">
        <v>73.785280460909576</v>
      </c>
      <c r="J21" s="155">
        <v>48.079564969020609</v>
      </c>
      <c r="K21" s="155">
        <v>21.251595746969961</v>
      </c>
      <c r="L21" s="155">
        <v>432.69763500204613</v>
      </c>
      <c r="M21" s="155">
        <v>181.86380101603234</v>
      </c>
      <c r="O21" s="154">
        <v>5327512.4513647724</v>
      </c>
      <c r="Q21" s="154">
        <v>760.10298845947909</v>
      </c>
      <c r="S21" s="157">
        <f t="shared" si="0"/>
        <v>0.60501644584477121</v>
      </c>
      <c r="T21" s="157">
        <f t="shared" si="1"/>
        <v>0.60501644584477121</v>
      </c>
      <c r="V21" s="154">
        <v>0.66666666666666663</v>
      </c>
      <c r="X21" s="157">
        <f t="shared" si="2"/>
        <v>0.40334429722984744</v>
      </c>
      <c r="Y21" s="157">
        <f t="shared" si="3"/>
        <v>0.40334429722984744</v>
      </c>
    </row>
    <row r="22" spans="7:25" x14ac:dyDescent="0.2">
      <c r="G22" s="155">
        <v>18</v>
      </c>
      <c r="H22" s="155" cm="1">
        <f t="array" ref="H22:M22">MMULT(H21:M21,m_P_trtA)</f>
        <v>222.93635298061938</v>
      </c>
      <c r="I22" s="155">
        <v>71.134469388334253</v>
      </c>
      <c r="J22" s="155">
        <v>46.462265620972708</v>
      </c>
      <c r="K22" s="155">
        <v>20.260953846888285</v>
      </c>
      <c r="L22" s="155">
        <v>447.77893906101627</v>
      </c>
      <c r="M22" s="155">
        <v>191.42701910216883</v>
      </c>
      <c r="O22" s="154">
        <v>5440964.8772564111</v>
      </c>
      <c r="Q22" s="154">
        <v>751.20683012608936</v>
      </c>
      <c r="S22" s="157">
        <f t="shared" si="0"/>
        <v>0.5873946076162827</v>
      </c>
      <c r="T22" s="157">
        <f t="shared" si="1"/>
        <v>0.5873946076162827</v>
      </c>
      <c r="V22" s="154">
        <v>1.3333333333333333</v>
      </c>
      <c r="X22" s="157">
        <f t="shared" si="2"/>
        <v>0.78319281015504361</v>
      </c>
      <c r="Y22" s="157">
        <f t="shared" si="3"/>
        <v>0.78319281015504361</v>
      </c>
    </row>
    <row r="23" spans="7:25" x14ac:dyDescent="0.2">
      <c r="G23" s="155">
        <v>19</v>
      </c>
      <c r="H23" s="155" cm="1">
        <f t="array" ref="H23:M23">MMULT(H22:M22,m_P_trtA)</f>
        <v>205.1014447421698</v>
      </c>
      <c r="I23" s="155">
        <v>68.662914813717208</v>
      </c>
      <c r="J23" s="155">
        <v>44.940370453984016</v>
      </c>
      <c r="K23" s="155">
        <v>19.329180296396245</v>
      </c>
      <c r="L23" s="155">
        <v>461.42164136046387</v>
      </c>
      <c r="M23" s="155">
        <v>200.54444833326855</v>
      </c>
      <c r="O23" s="154">
        <v>5542226.89158771</v>
      </c>
      <c r="Q23" s="154">
        <v>742.74153699971293</v>
      </c>
      <c r="S23" s="157">
        <f t="shared" si="0"/>
        <v>0.57028602681192497</v>
      </c>
      <c r="T23" s="157">
        <f t="shared" si="1"/>
        <v>0.57028602681192497</v>
      </c>
      <c r="V23" s="154">
        <v>0.66666666666666663</v>
      </c>
      <c r="X23" s="157">
        <f t="shared" si="2"/>
        <v>0.3801906845412833</v>
      </c>
      <c r="Y23" s="157">
        <f t="shared" si="3"/>
        <v>0.3801906845412833</v>
      </c>
    </row>
    <row r="24" spans="7:25" x14ac:dyDescent="0.2">
      <c r="G24" s="155">
        <v>20</v>
      </c>
      <c r="H24" s="155" cm="1">
        <f t="array" ref="H24:M24">MMULT(H23:M23,m_P_trtA)</f>
        <v>188.6933291627962</v>
      </c>
      <c r="I24" s="155">
        <v>66.36141821593317</v>
      </c>
      <c r="J24" s="155">
        <v>43.513218077029983</v>
      </c>
      <c r="K24" s="155">
        <v>18.456660163717423</v>
      </c>
      <c r="L24" s="155">
        <v>473.73279491387603</v>
      </c>
      <c r="M24" s="155">
        <v>209.24257946664687</v>
      </c>
      <c r="O24" s="154">
        <v>5632369.1837285012</v>
      </c>
      <c r="Q24" s="154">
        <v>734.67631485462914</v>
      </c>
      <c r="S24" s="157">
        <f t="shared" si="0"/>
        <v>0.55367575418633497</v>
      </c>
      <c r="T24" s="157">
        <f t="shared" si="1"/>
        <v>0.55367575418633497</v>
      </c>
      <c r="V24" s="154">
        <v>1.3333333333333333</v>
      </c>
      <c r="X24" s="157">
        <f t="shared" si="2"/>
        <v>0.73823433891511325</v>
      </c>
      <c r="Y24" s="157">
        <f t="shared" si="3"/>
        <v>0.73823433891511325</v>
      </c>
    </row>
    <row r="25" spans="7:25" x14ac:dyDescent="0.2">
      <c r="G25" s="155">
        <v>21</v>
      </c>
      <c r="H25" s="155" cm="1">
        <f t="array" ref="H25:M25">MMULT(H24:M24,m_P_trtA)</f>
        <v>173.59786282977248</v>
      </c>
      <c r="I25" s="155">
        <v>64.219905100625411</v>
      </c>
      <c r="J25" s="155">
        <v>42.178100208391861</v>
      </c>
      <c r="K25" s="155">
        <v>17.642246085041172</v>
      </c>
      <c r="L25" s="155">
        <v>484.81380923584902</v>
      </c>
      <c r="M25" s="155">
        <v>217.54807654031973</v>
      </c>
      <c r="O25" s="154">
        <v>5712353.7521164529</v>
      </c>
      <c r="Q25" s="154">
        <v>726.98215783095247</v>
      </c>
      <c r="S25" s="157">
        <f t="shared" si="0"/>
        <v>0.5375492759090631</v>
      </c>
      <c r="T25" s="157">
        <f t="shared" si="1"/>
        <v>0.5375492759090631</v>
      </c>
      <c r="V25" s="154">
        <v>0.66666666666666663</v>
      </c>
      <c r="X25" s="157">
        <f t="shared" si="2"/>
        <v>0.35836618393937536</v>
      </c>
      <c r="Y25" s="157">
        <f t="shared" si="3"/>
        <v>0.35836618393937536</v>
      </c>
    </row>
    <row r="26" spans="7:25" x14ac:dyDescent="0.2">
      <c r="G26" s="155">
        <v>22</v>
      </c>
      <c r="H26" s="155" cm="1">
        <f t="array" ref="H26:M26">MMULT(H25:M25,m_P_trtA)</f>
        <v>159.71003380339067</v>
      </c>
      <c r="I26" s="155">
        <v>62.228012652031737</v>
      </c>
      <c r="J26" s="155">
        <v>40.93105828830366</v>
      </c>
      <c r="K26" s="155">
        <v>16.883816702077091</v>
      </c>
      <c r="L26" s="155">
        <v>494.75999127560829</v>
      </c>
      <c r="M26" s="155">
        <v>225.48708727858826</v>
      </c>
      <c r="O26" s="154">
        <v>5783048.899290869</v>
      </c>
      <c r="Q26" s="154">
        <v>719.6319020464498</v>
      </c>
      <c r="S26" s="157">
        <f t="shared" si="0"/>
        <v>0.52189250088258554</v>
      </c>
      <c r="T26" s="157">
        <f t="shared" si="1"/>
        <v>0.52189250088258554</v>
      </c>
      <c r="V26" s="154">
        <v>1.3333333333333333</v>
      </c>
      <c r="X26" s="157">
        <f t="shared" si="2"/>
        <v>0.69585666784344735</v>
      </c>
      <c r="Y26" s="157">
        <f t="shared" si="3"/>
        <v>0.69585666784344735</v>
      </c>
    </row>
    <row r="27" spans="7:25" x14ac:dyDescent="0.2">
      <c r="G27" s="155">
        <v>23</v>
      </c>
      <c r="H27" s="155" cm="1">
        <f t="array" ref="H27:M27">MMULT(H26:M26,m_P_trtA)</f>
        <v>146.93323109911941</v>
      </c>
      <c r="I27" s="155">
        <v>60.375462653917523</v>
      </c>
      <c r="J27" s="155">
        <v>39.767427662113121</v>
      </c>
      <c r="K27" s="155">
        <v>16.178667432318001</v>
      </c>
      <c r="L27" s="155">
        <v>503.66040635800869</v>
      </c>
      <c r="M27" s="155">
        <v>233.08480479452297</v>
      </c>
      <c r="O27" s="154">
        <v>5845241.4080591472</v>
      </c>
      <c r="Q27" s="154">
        <v>712.60021819040981</v>
      </c>
      <c r="S27" s="157">
        <f t="shared" si="0"/>
        <v>0.50669174842969467</v>
      </c>
      <c r="T27" s="157">
        <f t="shared" si="1"/>
        <v>0.50669174842969467</v>
      </c>
      <c r="V27" s="154">
        <v>0.66666666666666663</v>
      </c>
      <c r="X27" s="157">
        <f t="shared" si="2"/>
        <v>0.33779449895312974</v>
      </c>
      <c r="Y27" s="157">
        <f t="shared" si="3"/>
        <v>0.33779449895312974</v>
      </c>
    </row>
    <row r="28" spans="7:25" x14ac:dyDescent="0.2">
      <c r="G28" s="155">
        <v>24</v>
      </c>
      <c r="H28" s="155" cm="1">
        <f t="array" ref="H28:M28">MMULT(H27:M27,m_P_trtA)</f>
        <v>135.17857261118985</v>
      </c>
      <c r="I28" s="155">
        <v>58.652291790268208</v>
      </c>
      <c r="J28" s="155">
        <v>38.682204919838</v>
      </c>
      <c r="K28" s="155">
        <v>15.523780176467163</v>
      </c>
      <c r="L28" s="155">
        <v>511.59794536317042</v>
      </c>
      <c r="M28" s="155">
        <v>240.36520513906606</v>
      </c>
      <c r="O28" s="154">
        <v>5899646.4905493222</v>
      </c>
      <c r="Q28" s="154">
        <v>705.86356383825091</v>
      </c>
      <c r="S28" s="157">
        <f t="shared" si="0"/>
        <v>0.49193373633950943</v>
      </c>
      <c r="T28" s="157">
        <f t="shared" si="1"/>
        <v>0.49193373633950943</v>
      </c>
      <c r="V28" s="154">
        <v>1.3333333333333333</v>
      </c>
      <c r="X28" s="157">
        <f t="shared" si="2"/>
        <v>0.65591164845267924</v>
      </c>
      <c r="Y28" s="157">
        <f t="shared" si="3"/>
        <v>0.65591164845267924</v>
      </c>
    </row>
    <row r="29" spans="7:25" x14ac:dyDescent="0.2">
      <c r="G29" s="155">
        <v>25</v>
      </c>
      <c r="H29" s="155" cm="1">
        <f t="array" ref="H29:M29">MMULT(H28:M28,m_P_trtA)</f>
        <v>124.36428680229466</v>
      </c>
      <c r="I29" s="155">
        <v>57.048987447489154</v>
      </c>
      <c r="J29" s="155">
        <v>37.670292045608484</v>
      </c>
      <c r="K29" s="155">
        <v>14.916006552321182</v>
      </c>
      <c r="L29" s="155">
        <v>518.64952093380998</v>
      </c>
      <c r="M29" s="155">
        <v>247.3509062184763</v>
      </c>
      <c r="O29" s="154">
        <v>5946915.996089696</v>
      </c>
      <c r="Q29" s="154">
        <v>699.40011035442228</v>
      </c>
      <c r="S29" s="157">
        <f t="shared" si="0"/>
        <v>0.47760556926165965</v>
      </c>
      <c r="T29" s="157">
        <f t="shared" si="1"/>
        <v>0.47760556926165965</v>
      </c>
      <c r="V29" s="154">
        <v>0.66666666666666663</v>
      </c>
      <c r="X29" s="157">
        <f t="shared" si="2"/>
        <v>0.31840371284110641</v>
      </c>
      <c r="Y29" s="157">
        <f t="shared" si="3"/>
        <v>0.31840371284110641</v>
      </c>
    </row>
    <row r="30" spans="7:25" x14ac:dyDescent="0.2">
      <c r="G30" s="155">
        <v>26</v>
      </c>
      <c r="H30" s="155" cm="1">
        <f t="array" ref="H30:M30">MMULT(H29:M29,m_P_trtA)</f>
        <v>114.41514385811108</v>
      </c>
      <c r="I30" s="155">
        <v>55.556561201939324</v>
      </c>
      <c r="J30" s="155">
        <v>36.72665524511406</v>
      </c>
      <c r="K30" s="155">
        <v>14.352189951024812</v>
      </c>
      <c r="L30" s="155">
        <v>524.88634057678962</v>
      </c>
      <c r="M30" s="155">
        <v>254.06310916702083</v>
      </c>
      <c r="O30" s="154">
        <v>5987645.2623772752</v>
      </c>
      <c r="Q30" s="154">
        <v>693.18965487016771</v>
      </c>
      <c r="S30" s="157">
        <f t="shared" si="0"/>
        <v>0.46369472743850448</v>
      </c>
      <c r="T30" s="157">
        <f t="shared" si="1"/>
        <v>0.46369472743850448</v>
      </c>
      <c r="V30" s="154">
        <v>1.3333333333333333</v>
      </c>
      <c r="X30" s="157">
        <f t="shared" si="2"/>
        <v>0.61825963658467264</v>
      </c>
      <c r="Y30" s="157">
        <f t="shared" si="3"/>
        <v>0.61825963658467264</v>
      </c>
    </row>
    <row r="31" spans="7:25" x14ac:dyDescent="0.2">
      <c r="G31" s="155">
        <v>27</v>
      </c>
      <c r="H31" s="155" cm="1">
        <f t="array" ref="H31:M31">MMULT(H30:M30,m_P_trtA)</f>
        <v>105.26193234946219</v>
      </c>
      <c r="I31" s="155">
        <v>54.16658154795762</v>
      </c>
      <c r="J31" s="155">
        <v>35.846425047743729</v>
      </c>
      <c r="K31" s="155">
        <v>13.829244700860627</v>
      </c>
      <c r="L31" s="155">
        <v>530.37422170899356</v>
      </c>
      <c r="M31" s="155">
        <v>260.52159464498197</v>
      </c>
      <c r="O31" s="154">
        <v>6022378.9071412887</v>
      </c>
      <c r="Q31" s="154">
        <v>687.21352461141669</v>
      </c>
      <c r="S31" s="157">
        <f t="shared" si="0"/>
        <v>0.45018905576553836</v>
      </c>
      <c r="T31" s="157">
        <f t="shared" si="1"/>
        <v>0.45018905576553836</v>
      </c>
      <c r="V31" s="154">
        <v>0.66666666666666663</v>
      </c>
      <c r="X31" s="157">
        <f t="shared" si="2"/>
        <v>0.30012603717702557</v>
      </c>
      <c r="Y31" s="157">
        <f t="shared" si="3"/>
        <v>0.30012603717702557</v>
      </c>
    </row>
    <row r="32" spans="7:25" x14ac:dyDescent="0.2">
      <c r="G32" s="155">
        <v>28</v>
      </c>
      <c r="H32" s="155" cm="1">
        <f t="array" ref="H32:M32">MMULT(H31:M31,m_P_trtA)</f>
        <v>96.840977761505201</v>
      </c>
      <c r="I32" s="155">
        <v>52.871180310212644</v>
      </c>
      <c r="J32" s="155">
        <v>35.024956282564204</v>
      </c>
      <c r="K32" s="155">
        <v>13.344205431086497</v>
      </c>
      <c r="L32" s="155">
        <v>535.17392545426196</v>
      </c>
      <c r="M32" s="155">
        <v>266.74475476036923</v>
      </c>
      <c r="O32" s="154">
        <v>6051615.7868200559</v>
      </c>
      <c r="Q32" s="154">
        <v>681.45447853185294</v>
      </c>
      <c r="S32" s="157">
        <f t="shared" si="0"/>
        <v>0.4370767531704256</v>
      </c>
      <c r="T32" s="157">
        <f t="shared" si="1"/>
        <v>0.4370767531704256</v>
      </c>
      <c r="V32" s="154">
        <v>1.3333333333333333</v>
      </c>
      <c r="X32" s="157">
        <f t="shared" si="2"/>
        <v>0.5827690042272341</v>
      </c>
      <c r="Y32" s="157">
        <f t="shared" si="3"/>
        <v>0.5827690042272341</v>
      </c>
    </row>
    <row r="33" spans="7:25" x14ac:dyDescent="0.2">
      <c r="G33" s="155">
        <v>29</v>
      </c>
      <c r="H33" s="155" cm="1">
        <f t="array" ref="H33:M33">MMULT(H32:M32,m_P_trtA)</f>
        <v>89.09369954058478</v>
      </c>
      <c r="I33" s="155">
        <v>51.663042412926949</v>
      </c>
      <c r="J33" s="155">
        <v>34.257860881886835</v>
      </c>
      <c r="K33" s="155">
        <v>12.894255935542931</v>
      </c>
      <c r="L33" s="155">
        <v>539.34149402470007</v>
      </c>
      <c r="M33" s="155">
        <v>272.74964720435815</v>
      </c>
      <c r="O33" s="154">
        <v>6075813.2935643345</v>
      </c>
      <c r="Q33" s="154">
        <v>675.89660955036061</v>
      </c>
      <c r="S33" s="157">
        <f t="shared" si="0"/>
        <v>0.42434636230138412</v>
      </c>
      <c r="T33" s="157">
        <f t="shared" si="1"/>
        <v>0.42434636230138412</v>
      </c>
      <c r="V33" s="154">
        <v>0.66666666666666663</v>
      </c>
      <c r="X33" s="157">
        <f t="shared" si="2"/>
        <v>0.28289757486758937</v>
      </c>
      <c r="Y33" s="157">
        <f t="shared" si="3"/>
        <v>0.28289757486758937</v>
      </c>
    </row>
    <row r="34" spans="7:25" x14ac:dyDescent="0.2">
      <c r="G34" s="155">
        <v>30</v>
      </c>
      <c r="H34" s="155" cm="1">
        <f t="array" ref="H34:M34">MMULT(H33:M33,m_P_trtA)</f>
        <v>81.966203577337993</v>
      </c>
      <c r="I34" s="155">
        <v>50.535385470020117</v>
      </c>
      <c r="J34" s="155">
        <v>33.541022498260645</v>
      </c>
      <c r="K34" s="155">
        <v>12.47674409546034</v>
      </c>
      <c r="L34" s="155">
        <v>542.92858198356817</v>
      </c>
      <c r="M34" s="155">
        <v>278.55206237535248</v>
      </c>
      <c r="O34" s="154">
        <v>6095391.1197882267</v>
      </c>
      <c r="Q34" s="154">
        <v>670.52524952347619</v>
      </c>
      <c r="S34" s="157">
        <f t="shared" si="0"/>
        <v>0.41198675951590691</v>
      </c>
      <c r="T34" s="157">
        <f t="shared" si="1"/>
        <v>0.41198675951590691</v>
      </c>
      <c r="V34" s="154">
        <v>0.33333333333333331</v>
      </c>
      <c r="X34" s="157">
        <f t="shared" si="2"/>
        <v>0.13732891983863563</v>
      </c>
      <c r="Y34" s="157">
        <f t="shared" si="3"/>
        <v>0.13732891983863563</v>
      </c>
    </row>
  </sheetData>
  <mergeCells count="2">
    <mergeCell ref="G1:M1"/>
    <mergeCell ref="S1:T1"/>
  </mergeCell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3B37-8384-1746-A5BC-4E8C7830136D}">
  <dimension ref="A1:AB34"/>
  <sheetViews>
    <sheetView workbookViewId="0">
      <selection activeCell="E8" sqref="E8"/>
    </sheetView>
  </sheetViews>
  <sheetFormatPr baseColWidth="10" defaultRowHeight="15" x14ac:dyDescent="0.2"/>
  <cols>
    <col min="16" max="16" width="2.6640625" customWidth="1"/>
    <col min="28" max="28" width="11.6640625" bestFit="1" customWidth="1"/>
  </cols>
  <sheetData>
    <row r="1" spans="1:28" ht="52" thickBot="1" x14ac:dyDescent="0.25">
      <c r="G1" s="239" t="s">
        <v>193</v>
      </c>
      <c r="H1" s="239"/>
      <c r="I1" s="239"/>
      <c r="J1" s="239"/>
      <c r="K1" s="239"/>
      <c r="L1" s="239"/>
      <c r="M1" s="239"/>
      <c r="N1" s="147"/>
      <c r="O1" s="148" t="s">
        <v>194</v>
      </c>
      <c r="P1" s="149"/>
      <c r="Q1" s="148" t="s">
        <v>195</v>
      </c>
      <c r="R1" s="150"/>
      <c r="S1" s="239" t="s">
        <v>196</v>
      </c>
      <c r="T1" s="239"/>
      <c r="U1" s="147"/>
      <c r="V1" s="148" t="s">
        <v>197</v>
      </c>
      <c r="W1" s="150"/>
      <c r="X1" s="148" t="s">
        <v>198</v>
      </c>
      <c r="Y1" s="148" t="s">
        <v>199</v>
      </c>
      <c r="Z1" s="149"/>
      <c r="AA1" s="61"/>
      <c r="AB1" s="61"/>
    </row>
    <row r="2" spans="1:28" ht="17" thickBot="1" x14ac:dyDescent="0.25">
      <c r="A2" s="60" t="s">
        <v>187</v>
      </c>
      <c r="B2" s="61"/>
      <c r="C2" s="61"/>
      <c r="D2" s="61"/>
      <c r="E2" s="61"/>
      <c r="G2" s="151"/>
      <c r="H2" s="151"/>
      <c r="I2" s="151"/>
      <c r="J2" s="151"/>
      <c r="K2" s="151"/>
      <c r="L2" s="151"/>
      <c r="M2" s="151"/>
      <c r="N2" s="15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152" t="s">
        <v>225</v>
      </c>
      <c r="AB2" s="160" cm="1">
        <f t="array" ref="AB2">MMULT(TRANSPOSE(w_c_trtB),cost_trtB)</f>
        <v>58629019.240626238</v>
      </c>
    </row>
    <row r="3" spans="1:28" ht="17" thickBot="1" x14ac:dyDescent="0.25">
      <c r="A3" s="61"/>
      <c r="B3" s="141" t="s">
        <v>188</v>
      </c>
      <c r="C3" s="141" t="s">
        <v>171</v>
      </c>
      <c r="D3" s="142" t="s">
        <v>217</v>
      </c>
      <c r="E3" s="142" t="s">
        <v>218</v>
      </c>
      <c r="G3" s="153" t="s">
        <v>3</v>
      </c>
      <c r="H3" s="153" t="s">
        <v>7</v>
      </c>
      <c r="I3" s="153" t="s">
        <v>8</v>
      </c>
      <c r="J3" s="153" t="s">
        <v>9</v>
      </c>
      <c r="K3" s="141" t="s">
        <v>10</v>
      </c>
      <c r="L3" s="141" t="s">
        <v>11</v>
      </c>
      <c r="M3" s="141" t="s">
        <v>12</v>
      </c>
      <c r="N3" s="60"/>
      <c r="O3" s="142" t="s">
        <v>219</v>
      </c>
      <c r="P3" s="61"/>
      <c r="Q3" s="142" t="s">
        <v>220</v>
      </c>
      <c r="R3" s="61"/>
      <c r="S3" s="142" t="s">
        <v>224</v>
      </c>
      <c r="T3" s="142" t="s">
        <v>223</v>
      </c>
      <c r="U3" s="60"/>
      <c r="V3" s="142" t="s">
        <v>212</v>
      </c>
      <c r="W3" s="60"/>
      <c r="X3" s="142" t="s">
        <v>221</v>
      </c>
      <c r="Y3" s="142" t="s">
        <v>222</v>
      </c>
      <c r="Z3" s="61"/>
      <c r="AA3" s="152" t="s">
        <v>226</v>
      </c>
      <c r="AB3" s="161" cm="1">
        <f t="array" ref="AB3">MMULT(TRANSPOSE(w_e_trtB),qaly_trtB)</f>
        <v>15525.699710957386</v>
      </c>
    </row>
    <row r="4" spans="1:28" ht="16" x14ac:dyDescent="0.2">
      <c r="A4" s="61"/>
      <c r="B4" s="143" t="s">
        <v>23</v>
      </c>
      <c r="C4" s="143" t="s">
        <v>7</v>
      </c>
      <c r="D4" s="146">
        <v>0</v>
      </c>
      <c r="E4" s="144">
        <f>uHealthy</f>
        <v>1</v>
      </c>
      <c r="G4" s="155">
        <v>0</v>
      </c>
      <c r="H4" s="155">
        <v>1000</v>
      </c>
      <c r="I4" s="155">
        <v>0</v>
      </c>
      <c r="J4" s="155">
        <v>0</v>
      </c>
      <c r="K4" s="155">
        <v>0</v>
      </c>
      <c r="L4" s="155">
        <v>0</v>
      </c>
      <c r="M4" s="155">
        <v>0</v>
      </c>
      <c r="N4" s="61"/>
      <c r="O4" s="156" cm="1">
        <f t="array" ref="O4:O34">MMULT(H4:M34,costs_trtB)</f>
        <v>0</v>
      </c>
      <c r="P4" s="61"/>
      <c r="Q4" s="154" cm="1">
        <f t="array" ref="Q4:Q34">MMULT(H4:M34,qalys_trtB)</f>
        <v>1000</v>
      </c>
      <c r="R4" s="61"/>
      <c r="S4" s="157">
        <f t="shared" ref="S4:S34" si="0">1/(1+discount_rate)^G4</f>
        <v>1</v>
      </c>
      <c r="T4" s="157">
        <f t="shared" ref="T4:T34" si="1">1/(1+discount_rate)^G4</f>
        <v>1</v>
      </c>
      <c r="U4" s="158"/>
      <c r="V4" s="157">
        <v>0.33333333333333331</v>
      </c>
      <c r="W4" s="159"/>
      <c r="X4" s="157">
        <f>S4*V4</f>
        <v>0.33333333333333331</v>
      </c>
      <c r="Y4" s="157">
        <f>T4*V4</f>
        <v>0.33333333333333331</v>
      </c>
      <c r="Z4" s="61"/>
      <c r="AA4" s="61"/>
      <c r="AB4" s="61"/>
    </row>
    <row r="5" spans="1:28" x14ac:dyDescent="0.2">
      <c r="A5" s="61"/>
      <c r="B5" s="143" t="s">
        <v>23</v>
      </c>
      <c r="C5" s="143" t="s">
        <v>8</v>
      </c>
      <c r="D5" s="144">
        <f>cTreatmentStage1+nVisitsStage1*cVisit</f>
        <v>1600</v>
      </c>
      <c r="E5" s="144">
        <f>uStage1</f>
        <v>0.88</v>
      </c>
      <c r="G5" s="155">
        <v>1</v>
      </c>
      <c r="H5" s="155" cm="1">
        <f t="array" ref="H5:M5">MMULT(H4:M4,m_P_trtB)</f>
        <v>919.99999999999989</v>
      </c>
      <c r="I5" s="155">
        <v>50.000000000000043</v>
      </c>
      <c r="J5" s="155">
        <v>20.000000000000018</v>
      </c>
      <c r="K5" s="155">
        <v>10.000000000000009</v>
      </c>
      <c r="L5" s="155">
        <v>0</v>
      </c>
      <c r="M5" s="155">
        <v>0</v>
      </c>
      <c r="O5" s="154">
        <v>456000.00000000035</v>
      </c>
      <c r="Q5" s="154">
        <v>981.8</v>
      </c>
      <c r="S5" s="157">
        <f t="shared" si="0"/>
        <v>0.970873786407767</v>
      </c>
      <c r="T5" s="157">
        <f t="shared" si="1"/>
        <v>0.970873786407767</v>
      </c>
      <c r="V5" s="154">
        <v>0.66666666666666663</v>
      </c>
      <c r="X5" s="157">
        <f t="shared" ref="X5:X34" si="2">S5*V5</f>
        <v>0.6472491909385113</v>
      </c>
      <c r="Y5" s="157">
        <f t="shared" ref="Y5:Y34" si="3">T5*V5</f>
        <v>0.6472491909385113</v>
      </c>
    </row>
    <row r="6" spans="1:28" x14ac:dyDescent="0.2">
      <c r="A6" s="61"/>
      <c r="B6" s="143" t="s">
        <v>23</v>
      </c>
      <c r="C6" s="143" t="s">
        <v>9</v>
      </c>
      <c r="D6" s="144">
        <f>cTreatmentStage2+nVisitsStage2*cVisit</f>
        <v>7200</v>
      </c>
      <c r="E6" s="144">
        <f>uStage2</f>
        <v>0.71</v>
      </c>
      <c r="G6" s="155">
        <v>2</v>
      </c>
      <c r="H6" s="155" cm="1">
        <f t="array" ref="H6:M6">MMULT(H5:M5,m_P_trtB)</f>
        <v>846.39999999999986</v>
      </c>
      <c r="I6" s="155">
        <v>79.500000000000057</v>
      </c>
      <c r="J6" s="155">
        <v>35.90000000000002</v>
      </c>
      <c r="K6" s="155">
        <v>17.200000000000014</v>
      </c>
      <c r="L6" s="155">
        <v>16.500000000000014</v>
      </c>
      <c r="M6" s="155">
        <v>4.5000000000000044</v>
      </c>
      <c r="O6" s="154">
        <v>910120.00000000058</v>
      </c>
      <c r="Q6" s="154">
        <v>963.71600000000001</v>
      </c>
      <c r="S6" s="157">
        <f t="shared" si="0"/>
        <v>0.94259590913375435</v>
      </c>
      <c r="T6" s="157">
        <f t="shared" si="1"/>
        <v>0.94259590913375435</v>
      </c>
      <c r="V6" s="154">
        <v>1.3333333333333333</v>
      </c>
      <c r="X6" s="157">
        <f t="shared" si="2"/>
        <v>1.2567945455116725</v>
      </c>
      <c r="Y6" s="157">
        <f t="shared" si="3"/>
        <v>1.2567945455116725</v>
      </c>
    </row>
    <row r="7" spans="1:28" x14ac:dyDescent="0.2">
      <c r="A7" s="61"/>
      <c r="B7" s="143" t="s">
        <v>23</v>
      </c>
      <c r="C7" s="143" t="s">
        <v>10</v>
      </c>
      <c r="D7" s="144">
        <f>cTreatmentStage3+nVisitsStage3*cVisit</f>
        <v>23200</v>
      </c>
      <c r="E7" s="144">
        <f>uStage3</f>
        <v>0.36</v>
      </c>
      <c r="G7" s="155">
        <v>3</v>
      </c>
      <c r="H7" s="155" cm="1">
        <f t="array" ref="H7:M7">MMULT(H6:M6,m_P_trtB)</f>
        <v>778.68799999999976</v>
      </c>
      <c r="I7" s="155">
        <v>97.11000000000007</v>
      </c>
      <c r="J7" s="155">
        <v>47.773000000000017</v>
      </c>
      <c r="K7" s="155">
        <v>22.449000000000012</v>
      </c>
      <c r="L7" s="155">
        <v>41.74000000000003</v>
      </c>
      <c r="M7" s="155">
        <v>12.240000000000011</v>
      </c>
      <c r="O7" s="154">
        <v>1337382.4000000008</v>
      </c>
      <c r="Q7" s="154">
        <v>945.79826999999989</v>
      </c>
      <c r="S7" s="157">
        <f t="shared" si="0"/>
        <v>0.91514165935315961</v>
      </c>
      <c r="T7" s="157">
        <f t="shared" si="1"/>
        <v>0.91514165935315961</v>
      </c>
      <c r="V7" s="154">
        <v>0.66666666666666663</v>
      </c>
      <c r="X7" s="157">
        <f t="shared" si="2"/>
        <v>0.61009443956877307</v>
      </c>
      <c r="Y7" s="157">
        <f t="shared" si="3"/>
        <v>0.61009443956877307</v>
      </c>
    </row>
    <row r="8" spans="1:28" x14ac:dyDescent="0.2">
      <c r="A8" s="61"/>
      <c r="B8" s="145" t="s">
        <v>23</v>
      </c>
      <c r="C8" s="145" t="s">
        <v>11</v>
      </c>
      <c r="D8" s="144">
        <f>nVisitsRemission*cVisit+cTrtB</f>
        <v>7600</v>
      </c>
      <c r="E8" s="104">
        <f>uRemission</f>
        <v>0.95</v>
      </c>
      <c r="G8" s="155">
        <v>4</v>
      </c>
      <c r="H8" s="155" cm="1">
        <f t="array" ref="H8:M8">MMULT(H7:M7,m_P_trtB)</f>
        <v>716.39295999999968</v>
      </c>
      <c r="I8" s="155">
        <v>107.78375000000007</v>
      </c>
      <c r="J8" s="155">
        <v>56.323210000000017</v>
      </c>
      <c r="K8" s="155">
        <v>26.177330000000012</v>
      </c>
      <c r="L8" s="155">
        <v>70.980700000000056</v>
      </c>
      <c r="M8" s="155">
        <v>22.342050000000015</v>
      </c>
      <c r="O8" s="154">
        <v>1724748.4880000008</v>
      </c>
      <c r="Q8" s="154">
        <v>928.08764289999988</v>
      </c>
      <c r="S8" s="157">
        <f t="shared" si="0"/>
        <v>0.888487047915689</v>
      </c>
      <c r="T8" s="157">
        <f t="shared" si="1"/>
        <v>0.888487047915689</v>
      </c>
      <c r="V8" s="154">
        <v>1.3333333333333333</v>
      </c>
      <c r="X8" s="157">
        <f t="shared" si="2"/>
        <v>1.1846493972209187</v>
      </c>
      <c r="Y8" s="157">
        <f t="shared" si="3"/>
        <v>1.1846493972209187</v>
      </c>
    </row>
    <row r="9" spans="1:28" x14ac:dyDescent="0.2">
      <c r="A9" s="61"/>
      <c r="B9" s="145" t="s">
        <v>23</v>
      </c>
      <c r="C9" s="145" t="s">
        <v>12</v>
      </c>
      <c r="D9" s="144">
        <f>0</f>
        <v>0</v>
      </c>
      <c r="E9" s="104">
        <f>0</f>
        <v>0</v>
      </c>
      <c r="G9" s="155">
        <v>5</v>
      </c>
      <c r="H9" s="155" cm="1">
        <f t="array" ref="H9:M9">MMULT(H8:M8,m_P_trtB)</f>
        <v>659.08152319999965</v>
      </c>
      <c r="I9" s="155">
        <v>114.37370200000005</v>
      </c>
      <c r="J9" s="155">
        <v>62.338447700000017</v>
      </c>
      <c r="K9" s="155">
        <v>28.701076100000009</v>
      </c>
      <c r="L9" s="155">
        <v>101.38340250000007</v>
      </c>
      <c r="M9" s="155">
        <v>34.12184850000002</v>
      </c>
      <c r="O9" s="154">
        <v>2068213.5711600012</v>
      </c>
      <c r="Q9" s="154">
        <v>910.6372985979998</v>
      </c>
      <c r="S9" s="157">
        <f t="shared" si="0"/>
        <v>0.86260878438416411</v>
      </c>
      <c r="T9" s="157">
        <f t="shared" si="1"/>
        <v>0.86260878438416411</v>
      </c>
      <c r="V9" s="154">
        <v>0.66666666666666663</v>
      </c>
      <c r="X9" s="157">
        <f t="shared" si="2"/>
        <v>0.575072522922776</v>
      </c>
      <c r="Y9" s="157">
        <f t="shared" si="3"/>
        <v>0.575072522922776</v>
      </c>
    </row>
    <row r="10" spans="1:28" x14ac:dyDescent="0.2">
      <c r="G10" s="155">
        <v>6</v>
      </c>
      <c r="H10" s="155" cm="1">
        <f t="array" ref="H10:M10">MMULT(H9:M9,m_P_trtB)</f>
        <v>606.35500134399967</v>
      </c>
      <c r="I10" s="155">
        <v>118.52457704500006</v>
      </c>
      <c r="J10" s="155">
        <v>66.498625164000018</v>
      </c>
      <c r="K10" s="155">
        <v>30.292120437000008</v>
      </c>
      <c r="L10" s="155">
        <v>131.29234326500008</v>
      </c>
      <c r="M10" s="155">
        <v>47.037332745000022</v>
      </c>
      <c r="O10" s="154">
        <v>2369028.4274052009</v>
      </c>
      <c r="Q10" s="154">
        <v>893.50354246910979</v>
      </c>
      <c r="S10" s="157">
        <f t="shared" si="0"/>
        <v>0.83748425668365445</v>
      </c>
      <c r="T10" s="157">
        <f t="shared" si="1"/>
        <v>0.83748425668365445</v>
      </c>
      <c r="V10" s="154">
        <v>1.3333333333333333</v>
      </c>
      <c r="X10" s="157">
        <f t="shared" si="2"/>
        <v>1.1166456755782059</v>
      </c>
      <c r="Y10" s="157">
        <f t="shared" si="3"/>
        <v>1.1166456755782059</v>
      </c>
    </row>
    <row r="11" spans="1:28" x14ac:dyDescent="0.2">
      <c r="G11" s="155">
        <v>7</v>
      </c>
      <c r="H11" s="155" cm="1">
        <f t="array" ref="H11:M11">MMULT(H10:M10,m_P_trtB)</f>
        <v>557.84660123647961</v>
      </c>
      <c r="I11" s="155">
        <v>121.18704386585006</v>
      </c>
      <c r="J11" s="155">
        <v>69.332109149580006</v>
      </c>
      <c r="K11" s="155">
        <v>31.184404006540007</v>
      </c>
      <c r="L11" s="155">
        <v>159.78105479990009</v>
      </c>
      <c r="M11" s="155">
        <v>60.668786941650026</v>
      </c>
      <c r="O11" s="154">
        <v>2630904.6454933053</v>
      </c>
      <c r="Q11" s="154">
        <v>876.7353848368889</v>
      </c>
      <c r="S11" s="157">
        <f t="shared" si="0"/>
        <v>0.81309151134335378</v>
      </c>
      <c r="T11" s="157">
        <f t="shared" si="1"/>
        <v>0.81309151134335378</v>
      </c>
      <c r="V11" s="154">
        <v>0.66666666666666663</v>
      </c>
      <c r="X11" s="157">
        <f t="shared" si="2"/>
        <v>0.54206100756223585</v>
      </c>
      <c r="Y11" s="157">
        <f t="shared" si="3"/>
        <v>0.54206100756223585</v>
      </c>
    </row>
    <row r="12" spans="1:28" x14ac:dyDescent="0.2">
      <c r="G12" s="155">
        <v>8</v>
      </c>
      <c r="H12" s="155" cm="1">
        <f t="array" ref="H12:M12">MMULT(H11:M11,m_P_trtB)</f>
        <v>513.21887313756122</v>
      </c>
      <c r="I12" s="155">
        <v>122.91299841609754</v>
      </c>
      <c r="J12" s="155">
        <v>71.227553745386601</v>
      </c>
      <c r="K12" s="155">
        <v>31.570484388071804</v>
      </c>
      <c r="L12" s="155">
        <v>186.36832156828962</v>
      </c>
      <c r="M12" s="155">
        <v>74.701768744593025</v>
      </c>
      <c r="O12" s="154">
        <v>2858333.6661548065</v>
      </c>
      <c r="Q12" s="154">
        <v>860.36915477253251</v>
      </c>
      <c r="S12" s="157">
        <f t="shared" si="0"/>
        <v>0.78940923431393573</v>
      </c>
      <c r="T12" s="157">
        <f t="shared" si="1"/>
        <v>0.78940923431393573</v>
      </c>
      <c r="V12" s="154">
        <v>1.3333333333333333</v>
      </c>
      <c r="X12" s="157">
        <f t="shared" si="2"/>
        <v>1.0525456457519142</v>
      </c>
      <c r="Y12" s="157">
        <f t="shared" si="3"/>
        <v>1.0525456457519142</v>
      </c>
    </row>
    <row r="13" spans="1:28" x14ac:dyDescent="0.2">
      <c r="G13" s="155">
        <v>9</v>
      </c>
      <c r="H13" s="155" cm="1">
        <f t="array" ref="H13:M13">MMULT(H12:M12,m_P_trtB)</f>
        <v>472.16136328655631</v>
      </c>
      <c r="I13" s="155">
        <v>124.02523604007398</v>
      </c>
      <c r="J13" s="155">
        <v>72.461783418045215</v>
      </c>
      <c r="K13" s="155">
        <v>31.601563987219507</v>
      </c>
      <c r="L13" s="155">
        <v>210.84156654887948</v>
      </c>
      <c r="M13" s="155">
        <v>88.908486719225337</v>
      </c>
      <c r="O13" s="154">
        <v>3055717.4085490205</v>
      </c>
      <c r="Q13" s="154">
        <v>844.42748848546807</v>
      </c>
      <c r="S13" s="157">
        <f t="shared" si="0"/>
        <v>0.76641673234362695</v>
      </c>
      <c r="T13" s="157">
        <f t="shared" si="1"/>
        <v>0.76641673234362695</v>
      </c>
      <c r="V13" s="154">
        <v>0.66666666666666663</v>
      </c>
      <c r="X13" s="157">
        <f t="shared" si="2"/>
        <v>0.51094448822908456</v>
      </c>
      <c r="Y13" s="157">
        <f t="shared" si="3"/>
        <v>0.51094448822908456</v>
      </c>
    </row>
    <row r="14" spans="1:28" x14ac:dyDescent="0.2">
      <c r="G14" s="155">
        <v>10</v>
      </c>
      <c r="H14" s="155" cm="1">
        <f t="array" ref="H14:M14">MMULT(H13:M13,m_P_trtB)</f>
        <v>434.38845422363175</v>
      </c>
      <c r="I14" s="155">
        <v>124.71488608518854</v>
      </c>
      <c r="J14" s="155">
        <v>73.228146116393006</v>
      </c>
      <c r="K14" s="155">
        <v>31.391663139182103</v>
      </c>
      <c r="L14" s="155">
        <v>233.14765992213029</v>
      </c>
      <c r="M14" s="155">
        <v>103.12919051347411</v>
      </c>
      <c r="O14" s="154">
        <v>3226995.2700115461</v>
      </c>
      <c r="Q14" s="154">
        <v>828.92081337736602</v>
      </c>
      <c r="S14" s="157">
        <f t="shared" si="0"/>
        <v>0.74409391489672516</v>
      </c>
      <c r="T14" s="157">
        <f t="shared" si="1"/>
        <v>0.74409391489672516</v>
      </c>
      <c r="V14" s="154">
        <v>1.3333333333333333</v>
      </c>
      <c r="X14" s="157">
        <f t="shared" si="2"/>
        <v>0.99212521986230018</v>
      </c>
      <c r="Y14" s="157">
        <f t="shared" si="3"/>
        <v>0.99212521986230018</v>
      </c>
    </row>
    <row r="15" spans="1:28" x14ac:dyDescent="0.2">
      <c r="G15" s="155">
        <v>11</v>
      </c>
      <c r="H15" s="155" cm="1">
        <f t="array" ref="H15:M15">MMULT(H14:M14,m_P_trtB)</f>
        <v>399.63737788574116</v>
      </c>
      <c r="I15" s="155">
        <v>125.09731876614423</v>
      </c>
      <c r="J15" s="155">
        <v>73.660158317450311</v>
      </c>
      <c r="K15" s="155">
        <v>31.023938029286324</v>
      </c>
      <c r="L15" s="155">
        <v>253.3257680752717</v>
      </c>
      <c r="M15" s="155">
        <v>117.25543892610607</v>
      </c>
      <c r="O15" s="154">
        <v>3375540.0495629804</v>
      </c>
      <c r="Q15" s="154">
        <v>813.84982816738898</v>
      </c>
      <c r="S15" s="157">
        <f t="shared" si="0"/>
        <v>0.72242127659876232</v>
      </c>
      <c r="T15" s="157">
        <f t="shared" si="1"/>
        <v>0.72242127659876232</v>
      </c>
      <c r="V15" s="154">
        <v>0.66666666666666663</v>
      </c>
      <c r="X15" s="157">
        <f t="shared" si="2"/>
        <v>0.48161418439917486</v>
      </c>
      <c r="Y15" s="157">
        <f t="shared" si="3"/>
        <v>0.48161418439917486</v>
      </c>
    </row>
    <row r="16" spans="1:28" x14ac:dyDescent="0.2">
      <c r="G16" s="155">
        <v>12</v>
      </c>
      <c r="H16" s="155" cm="1">
        <f t="array" ref="H16:M16">MMULT(H15:M15,m_P_trtB)</f>
        <v>367.66638765488182</v>
      </c>
      <c r="I16" s="155">
        <v>125.24419545417508</v>
      </c>
      <c r="J16" s="155">
        <v>73.849544368521904</v>
      </c>
      <c r="K16" s="155">
        <v>30.557366541118125</v>
      </c>
      <c r="L16" s="155">
        <v>271.46629494201795</v>
      </c>
      <c r="M16" s="155">
        <v>131.2162110392849</v>
      </c>
      <c r="O16" s="154">
        <v>3504182.1774933147</v>
      </c>
      <c r="Q16" s="154">
        <v>799.20808830592591</v>
      </c>
      <c r="S16" s="157">
        <f t="shared" si="0"/>
        <v>0.70137988019297326</v>
      </c>
      <c r="T16" s="157">
        <f t="shared" si="1"/>
        <v>0.70137988019297326</v>
      </c>
      <c r="V16" s="154">
        <v>1.3333333333333333</v>
      </c>
      <c r="X16" s="157">
        <f t="shared" si="2"/>
        <v>0.93517317359063101</v>
      </c>
      <c r="Y16" s="157">
        <f t="shared" si="3"/>
        <v>0.93517317359063101</v>
      </c>
    </row>
    <row r="17" spans="7:25" x14ac:dyDescent="0.2">
      <c r="G17" s="155">
        <v>13</v>
      </c>
      <c r="H17" s="155" cm="1">
        <f t="array" ref="H17:M17">MMULT(H16:M16,m_P_trtB)</f>
        <v>338.25307664249124</v>
      </c>
      <c r="I17" s="155">
        <v>125.20182724174543</v>
      </c>
      <c r="J17" s="155">
        <v>73.859331094944736</v>
      </c>
      <c r="K17" s="155">
        <v>30.032778802386169</v>
      </c>
      <c r="L17" s="155">
        <v>287.68596023564413</v>
      </c>
      <c r="M17" s="155">
        <v>144.96702598278804</v>
      </c>
      <c r="O17" s="154">
        <v>3615283.8734766492</v>
      </c>
      <c r="Q17" s="154">
        <v>784.98427228535888</v>
      </c>
      <c r="S17" s="157">
        <f t="shared" si="0"/>
        <v>0.68095133999317792</v>
      </c>
      <c r="T17" s="157">
        <f t="shared" si="1"/>
        <v>0.68095133999317792</v>
      </c>
      <c r="V17" s="154">
        <v>0.66666666666666663</v>
      </c>
      <c r="X17" s="157">
        <f t="shared" si="2"/>
        <v>0.45396755999545191</v>
      </c>
      <c r="Y17" s="157">
        <f t="shared" si="3"/>
        <v>0.45396755999545191</v>
      </c>
    </row>
    <row r="18" spans="7:25" x14ac:dyDescent="0.2">
      <c r="G18" s="155">
        <v>14</v>
      </c>
      <c r="H18" s="155" cm="1">
        <f t="array" ref="H18:M18">MMULT(H17:M17,m_P_trtB)</f>
        <v>311.19283051109193</v>
      </c>
      <c r="I18" s="155">
        <v>125.00168491285785</v>
      </c>
      <c r="J18" s="155">
        <v>73.733060661179849</v>
      </c>
      <c r="K18" s="155">
        <v>29.477819831859712</v>
      </c>
      <c r="L18" s="155">
        <v>302.11282763914858</v>
      </c>
      <c r="M18" s="155">
        <v>158.48177644386183</v>
      </c>
      <c r="O18" s="154">
        <v>3710823.6427777419</v>
      </c>
      <c r="Q18" s="154">
        <v>771.16398770050512</v>
      </c>
      <c r="S18" s="157">
        <f t="shared" si="0"/>
        <v>0.66111780581861923</v>
      </c>
      <c r="T18" s="157">
        <f t="shared" si="1"/>
        <v>0.66111780581861923</v>
      </c>
      <c r="V18" s="154">
        <v>1.3333333333333333</v>
      </c>
      <c r="X18" s="157">
        <f t="shared" si="2"/>
        <v>0.8814904077581589</v>
      </c>
      <c r="Y18" s="157">
        <f t="shared" si="3"/>
        <v>0.8814904077581589</v>
      </c>
    </row>
    <row r="19" spans="7:25" x14ac:dyDescent="0.2">
      <c r="G19" s="155">
        <v>15</v>
      </c>
      <c r="H19" s="155" cm="1">
        <f t="array" ref="H19:M19">MMULT(H18:M18,m_P_trtB)</f>
        <v>286.29740407020455</v>
      </c>
      <c r="I19" s="155">
        <v>124.66641596310309</v>
      </c>
      <c r="J19" s="155">
        <v>73.50113731898297</v>
      </c>
      <c r="K19" s="155">
        <v>28.910797320217753</v>
      </c>
      <c r="L19" s="155">
        <v>314.87744995929268</v>
      </c>
      <c r="M19" s="155">
        <v>171.74679536819872</v>
      </c>
      <c r="O19" s="154">
        <v>3792473.5717573185</v>
      </c>
      <c r="Q19" s="154">
        <v>757.73112211081957</v>
      </c>
      <c r="S19" s="157">
        <f t="shared" si="0"/>
        <v>0.64186194739671765</v>
      </c>
      <c r="T19" s="157">
        <f t="shared" si="1"/>
        <v>0.64186194739671765</v>
      </c>
      <c r="V19" s="154">
        <v>0.66666666666666663</v>
      </c>
      <c r="X19" s="157">
        <f t="shared" si="2"/>
        <v>0.42790796493114508</v>
      </c>
      <c r="Y19" s="157">
        <f t="shared" si="3"/>
        <v>0.42790796493114508</v>
      </c>
    </row>
    <row r="20" spans="7:25" x14ac:dyDescent="0.2">
      <c r="G20" s="155">
        <v>16</v>
      </c>
      <c r="H20" s="155" cm="1">
        <f t="array" ref="H20:M20">MMULT(H19:M19,m_P_trtB)</f>
        <v>263.39361174458816</v>
      </c>
      <c r="I20" s="155">
        <v>124.21329344221981</v>
      </c>
      <c r="J20" s="155">
        <v>73.185135433893848</v>
      </c>
      <c r="K20" s="155">
        <v>28.343543298658368</v>
      </c>
      <c r="L20" s="155">
        <v>326.10776191834287</v>
      </c>
      <c r="M20" s="155">
        <v>184.75665416229671</v>
      </c>
      <c r="O20" s="154">
        <v>3861663.4397398671</v>
      </c>
      <c r="Q20" s="154">
        <v>744.66880554174895</v>
      </c>
      <c r="S20" s="157">
        <f t="shared" si="0"/>
        <v>0.62316693922011435</v>
      </c>
      <c r="T20" s="157">
        <f t="shared" si="1"/>
        <v>0.62316693922011435</v>
      </c>
      <c r="V20" s="154">
        <v>1.3333333333333333</v>
      </c>
      <c r="X20" s="157">
        <f t="shared" si="2"/>
        <v>0.83088925229348576</v>
      </c>
      <c r="Y20" s="157">
        <f t="shared" si="3"/>
        <v>0.83088925229348576</v>
      </c>
    </row>
    <row r="21" spans="7:25" x14ac:dyDescent="0.2">
      <c r="G21" s="155">
        <v>17</v>
      </c>
      <c r="H21" s="155" cm="1">
        <f t="array" ref="H21:M21">MMULT(H20:M20,m_P_trtB)</f>
        <v>242.32212280502108</v>
      </c>
      <c r="I21" s="155">
        <v>123.65619904983441</v>
      </c>
      <c r="J21" s="155">
        <v>72.800692861933243</v>
      </c>
      <c r="K21" s="155">
        <v>27.783478081859144</v>
      </c>
      <c r="L21" s="155">
        <v>335.92625855465889</v>
      </c>
      <c r="M21" s="155">
        <v>197.51124864669299</v>
      </c>
      <c r="O21" s="154">
        <v>3919631.1636001943</v>
      </c>
      <c r="Q21" s="154">
        <v>731.96006763724313</v>
      </c>
      <c r="S21" s="157">
        <f t="shared" si="0"/>
        <v>0.60501644584477121</v>
      </c>
      <c r="T21" s="157">
        <f t="shared" si="1"/>
        <v>0.60501644584477121</v>
      </c>
      <c r="V21" s="154">
        <v>0.66666666666666663</v>
      </c>
      <c r="X21" s="157">
        <f t="shared" si="2"/>
        <v>0.40334429722984744</v>
      </c>
      <c r="Y21" s="157">
        <f t="shared" si="3"/>
        <v>0.40334429722984744</v>
      </c>
    </row>
    <row r="22" spans="7:25" x14ac:dyDescent="0.2">
      <c r="G22" s="155">
        <v>18</v>
      </c>
      <c r="H22" s="155" cm="1">
        <f t="array" ref="H22:M22">MMULT(H21:M21,m_P_trtB)</f>
        <v>222.93635298061938</v>
      </c>
      <c r="I22" s="155">
        <v>123.00677085011282</v>
      </c>
      <c r="J22" s="155">
        <v>72.359439738976533</v>
      </c>
      <c r="K22" s="155">
        <v>27.235064198269772</v>
      </c>
      <c r="L22" s="155">
        <v>344.44855844849167</v>
      </c>
      <c r="M22" s="155">
        <v>210.0138137835296</v>
      </c>
      <c r="O22" s="154">
        <v>3967461.3330892073</v>
      </c>
      <c r="Q22" s="154">
        <v>719.58826718083617</v>
      </c>
      <c r="S22" s="157">
        <f t="shared" si="0"/>
        <v>0.5873946076162827</v>
      </c>
      <c r="T22" s="157">
        <f t="shared" si="1"/>
        <v>0.5873946076162827</v>
      </c>
      <c r="V22" s="154">
        <v>1.3333333333333333</v>
      </c>
      <c r="X22" s="157">
        <f t="shared" si="2"/>
        <v>0.78319281015504361</v>
      </c>
      <c r="Y22" s="157">
        <f t="shared" si="3"/>
        <v>0.78319281015504361</v>
      </c>
    </row>
    <row r="23" spans="7:25" x14ac:dyDescent="0.2">
      <c r="G23" s="155">
        <v>19</v>
      </c>
      <c r="H23" s="155" cm="1">
        <f t="array" ref="H23:M23">MMULT(H22:M22,m_P_trtB)</f>
        <v>205.1014447421698</v>
      </c>
      <c r="I23" s="155">
        <v>122.27507536443247</v>
      </c>
      <c r="J23" s="155">
        <v>71.870277951377815</v>
      </c>
      <c r="K23" s="155">
        <v>26.700811589787563</v>
      </c>
      <c r="L23" s="155">
        <v>351.78279767948112</v>
      </c>
      <c r="M23" s="155">
        <v>222.269592672751</v>
      </c>
      <c r="O23" s="154">
        <v>4006114.2130801398</v>
      </c>
      <c r="Q23" s="154">
        <v>707.5373583761791</v>
      </c>
      <c r="S23" s="157">
        <f t="shared" si="0"/>
        <v>0.57028602681192497</v>
      </c>
      <c r="T23" s="157">
        <f t="shared" si="1"/>
        <v>0.57028602681192497</v>
      </c>
      <c r="V23" s="154">
        <v>0.66666666666666663</v>
      </c>
      <c r="X23" s="157">
        <f t="shared" si="2"/>
        <v>0.3801906845412833</v>
      </c>
      <c r="Y23" s="157">
        <f t="shared" si="3"/>
        <v>0.3801906845412833</v>
      </c>
    </row>
    <row r="24" spans="7:25" x14ac:dyDescent="0.2">
      <c r="G24" s="155">
        <v>20</v>
      </c>
      <c r="H24" s="155" cm="1">
        <f t="array" ref="H24:M24">MMULT(H23:M23,m_P_trtB)</f>
        <v>188.6933291627962</v>
      </c>
      <c r="I24" s="155">
        <v>121.47000893591699</v>
      </c>
      <c r="J24" s="155">
        <v>71.34022771198714</v>
      </c>
      <c r="K24" s="155">
        <v>26.181961935022152</v>
      </c>
      <c r="L24" s="155">
        <v>358.02951436612193</v>
      </c>
      <c r="M24" s="155">
        <v>234.28495788815542</v>
      </c>
      <c r="O24" s="154">
        <v>4036447.479898815</v>
      </c>
      <c r="Q24" s="154">
        <v>695.79204364633779</v>
      </c>
      <c r="S24" s="157">
        <f t="shared" si="0"/>
        <v>0.55367575418633497</v>
      </c>
      <c r="T24" s="157">
        <f t="shared" si="1"/>
        <v>0.55367575418633497</v>
      </c>
      <c r="V24" s="154">
        <v>1.3333333333333333</v>
      </c>
      <c r="X24" s="157">
        <f t="shared" si="2"/>
        <v>0.73823433891511325</v>
      </c>
      <c r="Y24" s="157">
        <f t="shared" si="3"/>
        <v>0.73823433891511325</v>
      </c>
    </row>
    <row r="25" spans="7:25" x14ac:dyDescent="0.2">
      <c r="G25" s="155">
        <v>21</v>
      </c>
      <c r="H25" s="155" cm="1">
        <f t="array" ref="H25:M25">MMULT(H24:M24,m_P_trtB)</f>
        <v>173.59786282977248</v>
      </c>
      <c r="I25" s="155">
        <v>120.59954480137498</v>
      </c>
      <c r="J25" s="155">
        <v>70.774987631774664</v>
      </c>
      <c r="K25" s="155">
        <v>25.678948415937111</v>
      </c>
      <c r="L25" s="155">
        <v>363.28181556222518</v>
      </c>
      <c r="M25" s="155">
        <v>246.06684075891539</v>
      </c>
      <c r="O25" s="154">
        <v>4059232.5841536298</v>
      </c>
      <c r="Q25" s="154">
        <v>684.33784968739371</v>
      </c>
      <c r="S25" s="157">
        <f t="shared" si="0"/>
        <v>0.5375492759090631</v>
      </c>
      <c r="T25" s="157">
        <f t="shared" si="1"/>
        <v>0.5375492759090631</v>
      </c>
      <c r="V25" s="154">
        <v>0.66666666666666663</v>
      </c>
      <c r="X25" s="157">
        <f t="shared" si="2"/>
        <v>0.35836618393937536</v>
      </c>
      <c r="Y25" s="157">
        <f t="shared" si="3"/>
        <v>0.35836618393937536</v>
      </c>
    </row>
    <row r="26" spans="7:25" x14ac:dyDescent="0.2">
      <c r="G26" s="155">
        <v>22</v>
      </c>
      <c r="H26" s="155" cm="1">
        <f t="array" ref="H26:M26">MMULT(H25:M25,m_P_trtB)</f>
        <v>159.71003380339067</v>
      </c>
      <c r="I26" s="155">
        <v>119.67089188894911</v>
      </c>
      <c r="J26" s="155">
        <v>70.179306203461351</v>
      </c>
      <c r="K26" s="155">
        <v>25.191700981032483</v>
      </c>
      <c r="L26" s="155">
        <v>367.6256995770791</v>
      </c>
      <c r="M26" s="155">
        <v>257.6223675460871</v>
      </c>
      <c r="O26" s="154">
        <v>4075167.2112329951</v>
      </c>
      <c r="Q26" s="154">
        <v>673.16115302152025</v>
      </c>
      <c r="S26" s="157">
        <f t="shared" si="0"/>
        <v>0.52189250088258554</v>
      </c>
      <c r="T26" s="157">
        <f t="shared" si="1"/>
        <v>0.52189250088258554</v>
      </c>
      <c r="V26" s="154">
        <v>1.3333333333333333</v>
      </c>
      <c r="X26" s="157">
        <f t="shared" si="2"/>
        <v>0.69585666784344735</v>
      </c>
      <c r="Y26" s="157">
        <f t="shared" si="3"/>
        <v>0.69585666784344735</v>
      </c>
    </row>
    <row r="27" spans="7:25" x14ac:dyDescent="0.2">
      <c r="G27" s="155">
        <v>23</v>
      </c>
      <c r="H27" s="155" cm="1">
        <f t="array" ref="H27:M27">MMULT(H26:M26,m_P_trtB)</f>
        <v>146.93323109911941</v>
      </c>
      <c r="I27" s="155">
        <v>118.69060269432586</v>
      </c>
      <c r="J27" s="155">
        <v>69.557229623403529</v>
      </c>
      <c r="K27" s="155">
        <v>24.719846759069352</v>
      </c>
      <c r="L27" s="155">
        <v>371.14045683652995</v>
      </c>
      <c r="M27" s="155">
        <v>268.95863298755171</v>
      </c>
      <c r="O27" s="154">
        <v>4084884.9343674635</v>
      </c>
      <c r="Q27" s="154">
        <v>662.24917333071107</v>
      </c>
      <c r="S27" s="157">
        <f t="shared" si="0"/>
        <v>0.50669174842969467</v>
      </c>
      <c r="T27" s="157">
        <f t="shared" si="1"/>
        <v>0.50669174842969467</v>
      </c>
      <c r="V27" s="154">
        <v>0.66666666666666663</v>
      </c>
      <c r="X27" s="157">
        <f t="shared" si="2"/>
        <v>0.33779449895312974</v>
      </c>
      <c r="Y27" s="157">
        <f t="shared" si="3"/>
        <v>0.33779449895312974</v>
      </c>
    </row>
    <row r="28" spans="7:25" x14ac:dyDescent="0.2">
      <c r="G28" s="155">
        <v>24</v>
      </c>
      <c r="H28" s="155" cm="1">
        <f t="array" ref="H28:M28">MMULT(H27:M27,m_P_trtB)</f>
        <v>135.17857261118985</v>
      </c>
      <c r="I28" s="155">
        <v>117.66465133436034</v>
      </c>
      <c r="J28" s="155">
        <v>68.91226870850646</v>
      </c>
      <c r="K28" s="155">
        <v>24.262840134036402</v>
      </c>
      <c r="L28" s="155">
        <v>373.89910318277384</v>
      </c>
      <c r="M28" s="155">
        <v>280.08256402913293</v>
      </c>
      <c r="O28" s="154">
        <v>4088962.8521349486</v>
      </c>
      <c r="Q28" s="154">
        <v>651.58994704035479</v>
      </c>
      <c r="S28" s="157">
        <f t="shared" si="0"/>
        <v>0.49193373633950943</v>
      </c>
      <c r="T28" s="157">
        <f t="shared" si="1"/>
        <v>0.49193373633950943</v>
      </c>
      <c r="V28" s="154">
        <v>1.3333333333333333</v>
      </c>
      <c r="X28" s="157">
        <f t="shared" si="2"/>
        <v>0.65591164845267924</v>
      </c>
      <c r="Y28" s="157">
        <f t="shared" si="3"/>
        <v>0.65591164845267924</v>
      </c>
    </row>
    <row r="29" spans="7:25" x14ac:dyDescent="0.2">
      <c r="G29" s="155">
        <v>25</v>
      </c>
      <c r="H29" s="155" cm="1">
        <f t="array" ref="H29:M29">MMULT(H28:M28,m_P_trtB)</f>
        <v>124.36428680229466</v>
      </c>
      <c r="I29" s="155">
        <v>116.59849368794094</v>
      </c>
      <c r="J29" s="155">
        <v>68.247512912948736</v>
      </c>
      <c r="K29" s="155">
        <v>23.820046099406071</v>
      </c>
      <c r="L29" s="155">
        <v>375.9688184079601</v>
      </c>
      <c r="M29" s="155">
        <v>291.00084208944929</v>
      </c>
      <c r="O29" s="154">
        <v>4087927.7722806539</v>
      </c>
      <c r="Q29" s="154">
        <v>641.17228949922446</v>
      </c>
      <c r="S29" s="157">
        <f t="shared" si="0"/>
        <v>0.47760556926165965</v>
      </c>
      <c r="T29" s="157">
        <f t="shared" si="1"/>
        <v>0.47760556926165965</v>
      </c>
      <c r="V29" s="154">
        <v>0.66666666666666663</v>
      </c>
      <c r="X29" s="157">
        <f t="shared" si="2"/>
        <v>0.31840371284110641</v>
      </c>
      <c r="Y29" s="157">
        <f t="shared" si="3"/>
        <v>0.31840371284110641</v>
      </c>
    </row>
    <row r="30" spans="7:25" x14ac:dyDescent="0.2">
      <c r="G30" s="155">
        <v>26</v>
      </c>
      <c r="H30" s="155" cm="1">
        <f t="array" ref="H30:M30">MMULT(H29:M29,m_P_trtB)</f>
        <v>114.41514385811108</v>
      </c>
      <c r="I30" s="155">
        <v>115.49711635556059</v>
      </c>
      <c r="J30" s="155">
        <v>67.565709709818321</v>
      </c>
      <c r="K30" s="155">
        <v>23.390792854668291</v>
      </c>
      <c r="L30" s="155">
        <v>377.41137438765946</v>
      </c>
      <c r="M30" s="155">
        <v>301.71986283418204</v>
      </c>
      <c r="O30" s="154">
        <v>4082261.3356541051</v>
      </c>
      <c r="Q30" s="154">
        <v>630.98575124093247</v>
      </c>
      <c r="S30" s="157">
        <f t="shared" si="0"/>
        <v>0.46369472743850448</v>
      </c>
      <c r="T30" s="157">
        <f t="shared" si="1"/>
        <v>0.46369472743850448</v>
      </c>
      <c r="V30" s="154">
        <v>1.3333333333333333</v>
      </c>
      <c r="X30" s="157">
        <f t="shared" si="2"/>
        <v>0.61825963658467264</v>
      </c>
      <c r="Y30" s="157">
        <f t="shared" si="3"/>
        <v>0.61825963658467264</v>
      </c>
    </row>
    <row r="31" spans="7:25" x14ac:dyDescent="0.2">
      <c r="G31" s="155">
        <v>27</v>
      </c>
      <c r="H31" s="155" cm="1">
        <f t="array" ref="H31:M31">MMULT(H30:M30,m_P_trtB)</f>
        <v>105.26193234946219</v>
      </c>
      <c r="I31" s="155">
        <v>114.36507826052363</v>
      </c>
      <c r="J31" s="155">
        <v>66.869321212972466</v>
      </c>
      <c r="K31" s="155">
        <v>22.974404322388004</v>
      </c>
      <c r="L31" s="155">
        <v>378.28354423587075</v>
      </c>
      <c r="M31" s="155">
        <v>312.24571961878274</v>
      </c>
      <c r="O31" s="154">
        <v>4072404.3544222591</v>
      </c>
      <c r="Q31" s="154">
        <v>621.02057186007028</v>
      </c>
      <c r="S31" s="157">
        <f t="shared" si="0"/>
        <v>0.45018905576553836</v>
      </c>
      <c r="T31" s="157">
        <f t="shared" si="1"/>
        <v>0.45018905576553836</v>
      </c>
      <c r="V31" s="154">
        <v>0.66666666666666663</v>
      </c>
      <c r="X31" s="157">
        <f t="shared" si="2"/>
        <v>0.30012603717702557</v>
      </c>
      <c r="Y31" s="157">
        <f t="shared" si="3"/>
        <v>0.30012603717702557</v>
      </c>
    </row>
    <row r="32" spans="7:25" x14ac:dyDescent="0.2">
      <c r="G32" s="155">
        <v>28</v>
      </c>
      <c r="H32" s="155" cm="1">
        <f t="array" ref="H32:M32">MMULT(H31:M31,m_P_trtB)</f>
        <v>96.840977761505201</v>
      </c>
      <c r="I32" s="155">
        <v>113.20654708633175</v>
      </c>
      <c r="J32" s="155">
        <v>66.160565744020602</v>
      </c>
      <c r="K32" s="155">
        <v>22.570219666634493</v>
      </c>
      <c r="L32" s="155">
        <v>378.63748817765037</v>
      </c>
      <c r="M32" s="155">
        <v>322.58420156385733</v>
      </c>
      <c r="O32" s="154">
        <v>4058760.5551111423</v>
      </c>
      <c r="Q32" s="154">
        <v>611.26763372448806</v>
      </c>
      <c r="S32" s="157">
        <f t="shared" si="0"/>
        <v>0.4370767531704256</v>
      </c>
      <c r="T32" s="157">
        <f t="shared" si="1"/>
        <v>0.4370767531704256</v>
      </c>
      <c r="V32" s="154">
        <v>1.3333333333333333</v>
      </c>
      <c r="X32" s="157">
        <f t="shared" si="2"/>
        <v>0.5827690042272341</v>
      </c>
      <c r="Y32" s="157">
        <f t="shared" si="3"/>
        <v>0.5827690042272341</v>
      </c>
    </row>
    <row r="33" spans="7:25" x14ac:dyDescent="0.2">
      <c r="G33" s="155">
        <v>29</v>
      </c>
      <c r="H33" s="155" cm="1">
        <f t="array" ref="H33:M33">MMULT(H32:M32,m_P_trtB)</f>
        <v>89.09369954058478</v>
      </c>
      <c r="I33" s="155">
        <v>112.02533183560396</v>
      </c>
      <c r="J33" s="155">
        <v>65.441449338936863</v>
      </c>
      <c r="K33" s="155">
        <v>22.177604472535389</v>
      </c>
      <c r="L33" s="155">
        <v>378.52111439849585</v>
      </c>
      <c r="M33" s="155">
        <v>332.74080041384286</v>
      </c>
      <c r="O33" s="154">
        <v>4041699.8593687015</v>
      </c>
      <c r="Q33" s="154">
        <v>601.71841687524523</v>
      </c>
      <c r="S33" s="157">
        <f t="shared" si="0"/>
        <v>0.42434636230138412</v>
      </c>
      <c r="T33" s="157">
        <f t="shared" si="1"/>
        <v>0.42434636230138412</v>
      </c>
      <c r="V33" s="154">
        <v>0.66666666666666663</v>
      </c>
      <c r="X33" s="157">
        <f t="shared" si="2"/>
        <v>0.28289757486758937</v>
      </c>
      <c r="Y33" s="157">
        <f t="shared" si="3"/>
        <v>0.28289757486758937</v>
      </c>
    </row>
    <row r="34" spans="7:25" x14ac:dyDescent="0.2">
      <c r="G34" s="155">
        <v>30</v>
      </c>
      <c r="H34" s="155" cm="1">
        <f t="array" ref="H34:M34">MMULT(H33:M33,m_P_trtB)</f>
        <v>81.966203577337993</v>
      </c>
      <c r="I34" s="155">
        <v>110.82491228899832</v>
      </c>
      <c r="J34" s="155">
        <v>64.71379043331585</v>
      </c>
      <c r="K34" s="155">
        <v>21.79595663251407</v>
      </c>
      <c r="L34" s="155">
        <v>377.97841464134967</v>
      </c>
      <c r="M34" s="155">
        <v>342.7207224264838</v>
      </c>
      <c r="O34" s="154">
        <v>4021561.2959308554</v>
      </c>
      <c r="Q34" s="154">
        <v>592.36495589629794</v>
      </c>
      <c r="S34" s="157">
        <f t="shared" si="0"/>
        <v>0.41198675951590691</v>
      </c>
      <c r="T34" s="157">
        <f t="shared" si="1"/>
        <v>0.41198675951590691</v>
      </c>
      <c r="V34" s="154">
        <v>0.33333333333333331</v>
      </c>
      <c r="X34" s="157">
        <f t="shared" si="2"/>
        <v>0.13732891983863563</v>
      </c>
      <c r="Y34" s="157">
        <f t="shared" si="3"/>
        <v>0.13732891983863563</v>
      </c>
    </row>
  </sheetData>
  <mergeCells count="2">
    <mergeCell ref="G1:M1"/>
    <mergeCell ref="S1:T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DAFF-82A2-E840-B190-192E85C84F1D}">
  <dimension ref="A1:AB34"/>
  <sheetViews>
    <sheetView workbookViewId="0">
      <selection activeCell="D8" sqref="D8"/>
    </sheetView>
  </sheetViews>
  <sheetFormatPr baseColWidth="10" defaultRowHeight="15" x14ac:dyDescent="0.2"/>
  <cols>
    <col min="16" max="16" width="2.6640625" customWidth="1"/>
    <col min="28" max="28" width="11.6640625" bestFit="1" customWidth="1"/>
  </cols>
  <sheetData>
    <row r="1" spans="1:28" ht="52" thickBot="1" x14ac:dyDescent="0.25">
      <c r="G1" s="239" t="s">
        <v>193</v>
      </c>
      <c r="H1" s="239"/>
      <c r="I1" s="239"/>
      <c r="J1" s="239"/>
      <c r="K1" s="239"/>
      <c r="L1" s="239"/>
      <c r="M1" s="239"/>
      <c r="N1" s="147"/>
      <c r="O1" s="148" t="s">
        <v>194</v>
      </c>
      <c r="P1" s="149"/>
      <c r="Q1" s="148" t="s">
        <v>195</v>
      </c>
      <c r="R1" s="150"/>
      <c r="S1" s="239" t="s">
        <v>196</v>
      </c>
      <c r="T1" s="239"/>
      <c r="U1" s="147"/>
      <c r="V1" s="148" t="s">
        <v>197</v>
      </c>
      <c r="W1" s="150"/>
      <c r="X1" s="148" t="s">
        <v>198</v>
      </c>
      <c r="Y1" s="148" t="s">
        <v>199</v>
      </c>
      <c r="Z1" s="149"/>
      <c r="AA1" s="61"/>
      <c r="AB1" s="61"/>
    </row>
    <row r="2" spans="1:28" ht="17" thickBot="1" x14ac:dyDescent="0.25">
      <c r="A2" s="60" t="s">
        <v>187</v>
      </c>
      <c r="B2" s="61"/>
      <c r="C2" s="61"/>
      <c r="D2" s="61"/>
      <c r="E2" s="61"/>
      <c r="G2" s="151"/>
      <c r="H2" s="151"/>
      <c r="I2" s="151"/>
      <c r="J2" s="151"/>
      <c r="K2" s="151"/>
      <c r="L2" s="151"/>
      <c r="M2" s="151"/>
      <c r="N2" s="15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152" t="s">
        <v>225</v>
      </c>
      <c r="AB2" s="160" cm="1">
        <f t="array" ref="AB2">MMULT(TRANSPOSE(w_c_trtC),cost_trtC)</f>
        <v>86249960.569360688</v>
      </c>
    </row>
    <row r="3" spans="1:28" ht="17" thickBot="1" x14ac:dyDescent="0.25">
      <c r="A3" s="61"/>
      <c r="B3" s="141" t="s">
        <v>188</v>
      </c>
      <c r="C3" s="141" t="s">
        <v>171</v>
      </c>
      <c r="D3" s="142" t="s">
        <v>227</v>
      </c>
      <c r="E3" s="142" t="s">
        <v>228</v>
      </c>
      <c r="G3" s="153" t="s">
        <v>3</v>
      </c>
      <c r="H3" s="153" t="s">
        <v>7</v>
      </c>
      <c r="I3" s="153" t="s">
        <v>8</v>
      </c>
      <c r="J3" s="153" t="s">
        <v>9</v>
      </c>
      <c r="K3" s="141" t="s">
        <v>10</v>
      </c>
      <c r="L3" s="141" t="s">
        <v>11</v>
      </c>
      <c r="M3" s="141" t="s">
        <v>12</v>
      </c>
      <c r="N3" s="60"/>
      <c r="O3" s="142" t="s">
        <v>229</v>
      </c>
      <c r="P3" s="61"/>
      <c r="Q3" s="142" t="s">
        <v>230</v>
      </c>
      <c r="R3" s="61"/>
      <c r="S3" s="142" t="s">
        <v>231</v>
      </c>
      <c r="T3" s="142" t="s">
        <v>232</v>
      </c>
      <c r="U3" s="60"/>
      <c r="V3" s="142" t="s">
        <v>212</v>
      </c>
      <c r="W3" s="60"/>
      <c r="X3" s="142" t="s">
        <v>233</v>
      </c>
      <c r="Y3" s="142" t="s">
        <v>234</v>
      </c>
      <c r="Z3" s="61"/>
      <c r="AA3" s="152" t="s">
        <v>226</v>
      </c>
      <c r="AB3" s="161" cm="1">
        <f t="array" ref="AB3">MMULT(TRANSPOSE(w_e_trtC),qaly_trtC)</f>
        <v>15714.010986326313</v>
      </c>
    </row>
    <row r="4" spans="1:28" ht="16" x14ac:dyDescent="0.2">
      <c r="A4" s="61"/>
      <c r="B4" s="143" t="s">
        <v>23</v>
      </c>
      <c r="C4" s="143" t="s">
        <v>7</v>
      </c>
      <c r="D4" s="146">
        <v>0</v>
      </c>
      <c r="E4" s="144">
        <f>uHealthy</f>
        <v>1</v>
      </c>
      <c r="G4" s="155">
        <v>0</v>
      </c>
      <c r="H4" s="155">
        <v>1000</v>
      </c>
      <c r="I4" s="155">
        <v>0</v>
      </c>
      <c r="J4" s="155">
        <v>0</v>
      </c>
      <c r="K4" s="155">
        <v>0</v>
      </c>
      <c r="L4" s="155">
        <v>0</v>
      </c>
      <c r="M4" s="155">
        <v>0</v>
      </c>
      <c r="N4" s="61"/>
      <c r="O4" s="156" cm="1">
        <f t="array" ref="O4:O34">MMULT(H4:M34,costs_trtC)</f>
        <v>0</v>
      </c>
      <c r="P4" s="61"/>
      <c r="Q4" s="154" cm="1">
        <f t="array" ref="Q4:Q34">MMULT(H4:M34,qalys_trtC)</f>
        <v>1000</v>
      </c>
      <c r="R4" s="61"/>
      <c r="S4" s="157">
        <f t="shared" ref="S4:S34" si="0">1/(1+discount_rate)^G4</f>
        <v>1</v>
      </c>
      <c r="T4" s="157">
        <f t="shared" ref="T4:T34" si="1">1/(1+discount_rate)^G4</f>
        <v>1</v>
      </c>
      <c r="U4" s="158"/>
      <c r="V4" s="157">
        <v>0.33333333333333331</v>
      </c>
      <c r="W4" s="159"/>
      <c r="X4" s="157">
        <f>S4*V4</f>
        <v>0.33333333333333331</v>
      </c>
      <c r="Y4" s="157">
        <f>T4*V4</f>
        <v>0.33333333333333331</v>
      </c>
      <c r="Z4" s="61"/>
      <c r="AA4" s="61"/>
      <c r="AB4" s="61"/>
    </row>
    <row r="5" spans="1:28" x14ac:dyDescent="0.2">
      <c r="A5" s="61"/>
      <c r="B5" s="143" t="s">
        <v>23</v>
      </c>
      <c r="C5" s="143" t="s">
        <v>8</v>
      </c>
      <c r="D5" s="144">
        <f>cTreatmentStage1+nVisitsStage1*cVisit</f>
        <v>1600</v>
      </c>
      <c r="E5" s="144">
        <f>uStage1</f>
        <v>0.88</v>
      </c>
      <c r="G5" s="155">
        <v>1</v>
      </c>
      <c r="H5" s="155" cm="1">
        <f t="array" ref="H5:M5">MMULT(H4:M4,m_P_trtC)</f>
        <v>919.99999999999989</v>
      </c>
      <c r="I5" s="155">
        <v>50.000000000000043</v>
      </c>
      <c r="J5" s="155">
        <v>20.000000000000018</v>
      </c>
      <c r="K5" s="155">
        <v>10.000000000000009</v>
      </c>
      <c r="L5" s="155">
        <v>0</v>
      </c>
      <c r="M5" s="155">
        <v>0</v>
      </c>
      <c r="O5" s="154">
        <v>456000.00000000035</v>
      </c>
      <c r="Q5" s="154">
        <v>981.8</v>
      </c>
      <c r="S5" s="157">
        <f t="shared" si="0"/>
        <v>0.970873786407767</v>
      </c>
      <c r="T5" s="157">
        <f t="shared" si="1"/>
        <v>0.970873786407767</v>
      </c>
      <c r="V5" s="154">
        <v>0.66666666666666663</v>
      </c>
      <c r="X5" s="157">
        <f t="shared" ref="X5:X34" si="2">S5*V5</f>
        <v>0.6472491909385113</v>
      </c>
      <c r="Y5" s="157">
        <f t="shared" ref="Y5:Y34" si="3">T5*V5</f>
        <v>0.6472491909385113</v>
      </c>
    </row>
    <row r="6" spans="1:28" x14ac:dyDescent="0.2">
      <c r="A6" s="61"/>
      <c r="B6" s="143" t="s">
        <v>23</v>
      </c>
      <c r="C6" s="143" t="s">
        <v>9</v>
      </c>
      <c r="D6" s="144">
        <f>cTreatmentStage2+nVisitsStage2*cVisit</f>
        <v>7200</v>
      </c>
      <c r="E6" s="144">
        <f>uStage2</f>
        <v>0.71</v>
      </c>
      <c r="G6" s="155">
        <v>2</v>
      </c>
      <c r="H6" s="155" cm="1">
        <f t="array" ref="H6:M6">MMULT(H5:M5,m_P_trtC)</f>
        <v>846.39999999999986</v>
      </c>
      <c r="I6" s="155">
        <v>79.500000000000057</v>
      </c>
      <c r="J6" s="155">
        <v>35.90000000000002</v>
      </c>
      <c r="K6" s="155">
        <v>17.200000000000014</v>
      </c>
      <c r="L6" s="155">
        <v>16.500000000000014</v>
      </c>
      <c r="M6" s="155">
        <v>4.5000000000000044</v>
      </c>
      <c r="O6" s="154">
        <v>992620.0000000007</v>
      </c>
      <c r="Q6" s="154">
        <v>963.71600000000001</v>
      </c>
      <c r="S6" s="157">
        <f t="shared" si="0"/>
        <v>0.94259590913375435</v>
      </c>
      <c r="T6" s="157">
        <f t="shared" si="1"/>
        <v>0.94259590913375435</v>
      </c>
      <c r="V6" s="154">
        <v>1.3333333333333333</v>
      </c>
      <c r="X6" s="157">
        <f t="shared" si="2"/>
        <v>1.2567945455116725</v>
      </c>
      <c r="Y6" s="157">
        <f t="shared" si="3"/>
        <v>1.2567945455116725</v>
      </c>
    </row>
    <row r="7" spans="1:28" x14ac:dyDescent="0.2">
      <c r="A7" s="61"/>
      <c r="B7" s="143" t="s">
        <v>23</v>
      </c>
      <c r="C7" s="143" t="s">
        <v>10</v>
      </c>
      <c r="D7" s="144">
        <f>cTreatmentStage3+nVisitsStage3*cVisit</f>
        <v>23200</v>
      </c>
      <c r="E7" s="144">
        <f>uStage3</f>
        <v>0.36</v>
      </c>
      <c r="G7" s="155">
        <v>3</v>
      </c>
      <c r="H7" s="155" cm="1">
        <f t="array" ref="H7:M7">MMULT(H6:M6,m_P_trtC)</f>
        <v>778.68799999999976</v>
      </c>
      <c r="I7" s="155">
        <v>96.615000000000066</v>
      </c>
      <c r="J7" s="155">
        <v>47.608000000000018</v>
      </c>
      <c r="K7" s="155">
        <v>22.449000000000012</v>
      </c>
      <c r="L7" s="155">
        <v>42.400000000000034</v>
      </c>
      <c r="M7" s="155">
        <v>12.240000000000011</v>
      </c>
      <c r="O7" s="154">
        <v>1552418.4000000011</v>
      </c>
      <c r="Q7" s="154">
        <v>945.87251999999989</v>
      </c>
      <c r="S7" s="157">
        <f t="shared" si="0"/>
        <v>0.91514165935315961</v>
      </c>
      <c r="T7" s="157">
        <f t="shared" si="1"/>
        <v>0.91514165935315961</v>
      </c>
      <c r="V7" s="154">
        <v>0.66666666666666663</v>
      </c>
      <c r="X7" s="157">
        <f t="shared" si="2"/>
        <v>0.61009443956877307</v>
      </c>
      <c r="Y7" s="157">
        <f t="shared" si="3"/>
        <v>0.61009443956877307</v>
      </c>
    </row>
    <row r="8" spans="1:28" x14ac:dyDescent="0.2">
      <c r="A8" s="61"/>
      <c r="B8" s="145" t="s">
        <v>23</v>
      </c>
      <c r="C8" s="145" t="s">
        <v>11</v>
      </c>
      <c r="D8" s="144">
        <f>nVisitsRemission*cVisit+cTrtC</f>
        <v>12600</v>
      </c>
      <c r="E8" s="104">
        <f>uRemission</f>
        <v>0.95</v>
      </c>
      <c r="G8" s="155">
        <v>4</v>
      </c>
      <c r="H8" s="155" cm="1">
        <f t="array" ref="H8:M8">MMULT(H7:M7,m_P_trtC)</f>
        <v>716.39295999999968</v>
      </c>
      <c r="I8" s="155">
        <v>106.23455000000007</v>
      </c>
      <c r="J8" s="155">
        <v>55.770510000000016</v>
      </c>
      <c r="K8" s="155">
        <v>26.152580000000015</v>
      </c>
      <c r="L8" s="155">
        <v>73.107350000000054</v>
      </c>
      <c r="M8" s="155">
        <v>22.342050000000015</v>
      </c>
      <c r="O8" s="154">
        <v>2099415.4180000015</v>
      </c>
      <c r="Q8" s="154">
        <v>928.34333739999988</v>
      </c>
      <c r="S8" s="157">
        <f t="shared" si="0"/>
        <v>0.888487047915689</v>
      </c>
      <c r="T8" s="157">
        <f t="shared" si="1"/>
        <v>0.888487047915689</v>
      </c>
      <c r="V8" s="154">
        <v>1.3333333333333333</v>
      </c>
      <c r="X8" s="157">
        <f t="shared" si="2"/>
        <v>1.1846493972209187</v>
      </c>
      <c r="Y8" s="157">
        <f t="shared" si="3"/>
        <v>1.1846493972209187</v>
      </c>
    </row>
    <row r="9" spans="1:28" x14ac:dyDescent="0.2">
      <c r="A9" s="61"/>
      <c r="B9" s="145" t="s">
        <v>23</v>
      </c>
      <c r="C9" s="145" t="s">
        <v>12</v>
      </c>
      <c r="D9" s="144">
        <f>0</f>
        <v>0</v>
      </c>
      <c r="E9" s="104">
        <f>0</f>
        <v>0</v>
      </c>
      <c r="G9" s="155">
        <v>5</v>
      </c>
      <c r="H9" s="155" cm="1">
        <f t="array" ref="H9:M9">MMULT(H8:M8,m_P_trtC)</f>
        <v>659.08152319999965</v>
      </c>
      <c r="I9" s="155">
        <v>111.31599850000008</v>
      </c>
      <c r="J9" s="155">
        <v>61.183396200000018</v>
      </c>
      <c r="K9" s="155">
        <v>28.605796100000013</v>
      </c>
      <c r="L9" s="155">
        <v>105.70257500000005</v>
      </c>
      <c r="M9" s="155">
        <v>34.110711000000023</v>
      </c>
      <c r="O9" s="154">
        <v>2614132.9647600013</v>
      </c>
      <c r="Q9" s="154">
        <v>911.19534602799968</v>
      </c>
      <c r="S9" s="157">
        <f t="shared" si="0"/>
        <v>0.86260878438416411</v>
      </c>
      <c r="T9" s="157">
        <f t="shared" si="1"/>
        <v>0.86260878438416411</v>
      </c>
      <c r="V9" s="154">
        <v>0.66666666666666663</v>
      </c>
      <c r="X9" s="157">
        <f t="shared" si="2"/>
        <v>0.575072522922776</v>
      </c>
      <c r="Y9" s="157">
        <f t="shared" si="3"/>
        <v>0.575072522922776</v>
      </c>
    </row>
    <row r="10" spans="1:28" x14ac:dyDescent="0.2">
      <c r="G10" s="155">
        <v>6</v>
      </c>
      <c r="H10" s="155" cm="1">
        <f t="array" ref="H10:M10">MMULT(H9:M9,m_P_trtC)</f>
        <v>606.35500134399967</v>
      </c>
      <c r="I10" s="155">
        <v>113.65377374500008</v>
      </c>
      <c r="J10" s="155">
        <v>64.567609339000015</v>
      </c>
      <c r="K10" s="155">
        <v>30.071222712000012</v>
      </c>
      <c r="L10" s="155">
        <v>138.36907361500005</v>
      </c>
      <c r="M10" s="155">
        <v>46.983319245000033</v>
      </c>
      <c r="O10" s="154">
        <v>3087835.5197002012</v>
      </c>
      <c r="Q10" s="154">
        <v>894.48958498085972</v>
      </c>
      <c r="S10" s="157">
        <f t="shared" si="0"/>
        <v>0.83748425668365445</v>
      </c>
      <c r="T10" s="157">
        <f t="shared" si="1"/>
        <v>0.83748425668365445</v>
      </c>
      <c r="V10" s="154">
        <v>1.3333333333333333</v>
      </c>
      <c r="X10" s="157">
        <f t="shared" si="2"/>
        <v>1.1166456755782059</v>
      </c>
      <c r="Y10" s="157">
        <f t="shared" si="3"/>
        <v>1.1166456755782059</v>
      </c>
    </row>
    <row r="11" spans="1:28" x14ac:dyDescent="0.2">
      <c r="G11" s="155">
        <v>7</v>
      </c>
      <c r="H11" s="155" cm="1">
        <f t="array" ref="H11:M11">MMULT(H10:M10,m_P_trtC)</f>
        <v>557.84660123647961</v>
      </c>
      <c r="I11" s="155">
        <v>114.33953714915008</v>
      </c>
      <c r="J11" s="155">
        <v>66.503985612680026</v>
      </c>
      <c r="K11" s="155">
        <v>30.784302770290012</v>
      </c>
      <c r="L11" s="155">
        <v>170.01020376600005</v>
      </c>
      <c r="M11" s="155">
        <v>60.515369465400042</v>
      </c>
      <c r="O11" s="154">
        <v>3518096.3475722652</v>
      </c>
      <c r="Q11" s="154">
        <v>878.27526628773899</v>
      </c>
      <c r="S11" s="157">
        <f t="shared" si="0"/>
        <v>0.81309151134335378</v>
      </c>
      <c r="T11" s="157">
        <f t="shared" si="1"/>
        <v>0.81309151134335378</v>
      </c>
      <c r="V11" s="154">
        <v>0.66666666666666663</v>
      </c>
      <c r="X11" s="157">
        <f t="shared" si="2"/>
        <v>0.54206100756223585</v>
      </c>
      <c r="Y11" s="157">
        <f t="shared" si="3"/>
        <v>0.54206100756223585</v>
      </c>
    </row>
    <row r="12" spans="1:28" x14ac:dyDescent="0.2">
      <c r="G12" s="155">
        <v>8</v>
      </c>
      <c r="H12" s="155" cm="1">
        <f t="array" ref="H12:M12">MMULT(H11:M11,m_P_trtC)</f>
        <v>513.21887313756122</v>
      </c>
      <c r="I12" s="155">
        <v>114.03873867770557</v>
      </c>
      <c r="J12" s="155">
        <v>67.432696321087121</v>
      </c>
      <c r="K12" s="155">
        <v>30.94621523941181</v>
      </c>
      <c r="L12" s="155">
        <v>199.99517091220355</v>
      </c>
      <c r="M12" s="155">
        <v>74.368305712030548</v>
      </c>
      <c r="O12" s="154">
        <v>3905868.7424442749</v>
      </c>
      <c r="Q12" s="154">
        <v>862.58622741469549</v>
      </c>
      <c r="S12" s="157">
        <f t="shared" si="0"/>
        <v>0.78940923431393573</v>
      </c>
      <c r="T12" s="157">
        <f t="shared" si="1"/>
        <v>0.78940923431393573</v>
      </c>
      <c r="V12" s="154">
        <v>1.3333333333333333</v>
      </c>
      <c r="X12" s="157">
        <f t="shared" si="2"/>
        <v>1.0525456457519142</v>
      </c>
      <c r="Y12" s="157">
        <f t="shared" si="3"/>
        <v>1.0525456457519142</v>
      </c>
    </row>
    <row r="13" spans="1:28" x14ac:dyDescent="0.2">
      <c r="G13" s="155">
        <v>9</v>
      </c>
      <c r="H13" s="155" cm="1">
        <f t="array" ref="H13:M13">MMULT(H12:M12,m_P_trtC)</f>
        <v>472.16136328655631</v>
      </c>
      <c r="I13" s="155">
        <v>113.15751715905124</v>
      </c>
      <c r="J13" s="155">
        <v>67.675083303388732</v>
      </c>
      <c r="K13" s="155">
        <v>30.720200799244591</v>
      </c>
      <c r="L13" s="155">
        <v>227.9917328819931</v>
      </c>
      <c r="M13" s="155">
        <v>88.294102569765869</v>
      </c>
      <c r="O13" s="154">
        <v>4253717.1200944688</v>
      </c>
      <c r="Q13" s="154">
        <v>847.44070605754894</v>
      </c>
      <c r="S13" s="157">
        <f t="shared" si="0"/>
        <v>0.76641673234362695</v>
      </c>
      <c r="T13" s="157">
        <f t="shared" si="1"/>
        <v>0.76641673234362695</v>
      </c>
      <c r="V13" s="154">
        <v>0.66666666666666663</v>
      </c>
      <c r="X13" s="157">
        <f t="shared" si="2"/>
        <v>0.51094448822908456</v>
      </c>
      <c r="Y13" s="157">
        <f t="shared" si="3"/>
        <v>0.51094448822908456</v>
      </c>
    </row>
    <row r="14" spans="1:28" x14ac:dyDescent="0.2">
      <c r="G14" s="155">
        <v>10</v>
      </c>
      <c r="H14" s="155" cm="1">
        <f t="array" ref="H14:M14">MMULT(H13:M13,m_P_trtC)</f>
        <v>434.38845422363175</v>
      </c>
      <c r="I14" s="155">
        <v>111.94379512698025</v>
      </c>
      <c r="J14" s="155">
        <v>67.459873661271573</v>
      </c>
      <c r="K14" s="155">
        <v>30.232976527996172</v>
      </c>
      <c r="L14" s="155">
        <v>253.85670753069414</v>
      </c>
      <c r="M14" s="155">
        <v>102.11819292942593</v>
      </c>
      <c r="O14" s="154">
        <v>4564820.7329005813</v>
      </c>
      <c r="Q14" s="154">
        <v>832.84324793911526</v>
      </c>
      <c r="S14" s="157">
        <f t="shared" si="0"/>
        <v>0.74409391489672516</v>
      </c>
      <c r="T14" s="157">
        <f t="shared" si="1"/>
        <v>0.74409391489672516</v>
      </c>
      <c r="V14" s="154">
        <v>1.3333333333333333</v>
      </c>
      <c r="X14" s="157">
        <f t="shared" si="2"/>
        <v>0.99212521986230018</v>
      </c>
      <c r="Y14" s="157">
        <f t="shared" si="3"/>
        <v>0.99212521986230018</v>
      </c>
    </row>
    <row r="15" spans="1:28" x14ac:dyDescent="0.2">
      <c r="G15" s="155">
        <v>11</v>
      </c>
      <c r="H15" s="155" cm="1">
        <f t="array" ref="H15:M15">MMULT(H14:M14,m_P_trtC)</f>
        <v>399.63737788574116</v>
      </c>
      <c r="I15" s="155">
        <v>110.54871860331707</v>
      </c>
      <c r="J15" s="155">
        <v>66.946855770947295</v>
      </c>
      <c r="K15" s="155">
        <v>29.57935385542514</v>
      </c>
      <c r="L15" s="155">
        <v>277.56466151754489</v>
      </c>
      <c r="M15" s="155">
        <v>115.7230323670242</v>
      </c>
      <c r="O15" s="154">
        <v>4842451.0558830574</v>
      </c>
      <c r="Q15" s="154">
        <v>818.7875136836534</v>
      </c>
      <c r="S15" s="157">
        <f t="shared" si="0"/>
        <v>0.72242127659876232</v>
      </c>
      <c r="T15" s="157">
        <f t="shared" si="1"/>
        <v>0.72242127659876232</v>
      </c>
      <c r="V15" s="154">
        <v>0.66666666666666663</v>
      </c>
      <c r="X15" s="157">
        <f t="shared" si="2"/>
        <v>0.48161418439917486</v>
      </c>
      <c r="Y15" s="157">
        <f t="shared" si="3"/>
        <v>0.48161418439917486</v>
      </c>
    </row>
    <row r="16" spans="1:28" x14ac:dyDescent="0.2">
      <c r="G16" s="155">
        <v>12</v>
      </c>
      <c r="H16" s="155" cm="1">
        <f t="array" ref="H16:M16">MMULT(H15:M15,m_P_trtC)</f>
        <v>367.66638765488182</v>
      </c>
      <c r="I16" s="155">
        <v>109.0641118508678</v>
      </c>
      <c r="J16" s="155">
        <v>66.245993803737065</v>
      </c>
      <c r="K16" s="155">
        <v>28.828079072212077</v>
      </c>
      <c r="L16" s="155">
        <v>299.16168601633547</v>
      </c>
      <c r="M16" s="155">
        <v>129.03374160196552</v>
      </c>
      <c r="O16" s="154">
        <v>5089722.4126294423</v>
      </c>
      <c r="Q16" s="154">
        <v>805.25917186581387</v>
      </c>
      <c r="S16" s="157">
        <f t="shared" si="0"/>
        <v>0.70137988019297326</v>
      </c>
      <c r="T16" s="157">
        <f t="shared" si="1"/>
        <v>0.70137988019297326</v>
      </c>
      <c r="V16" s="154">
        <v>1.3333333333333333</v>
      </c>
      <c r="X16" s="157">
        <f t="shared" si="2"/>
        <v>0.93517317359063101</v>
      </c>
      <c r="Y16" s="157">
        <f t="shared" si="3"/>
        <v>0.93517317359063101</v>
      </c>
    </row>
    <row r="17" spans="7:25" x14ac:dyDescent="0.2">
      <c r="G17" s="155">
        <v>13</v>
      </c>
      <c r="H17" s="155" cm="1">
        <f t="array" ref="H17:M17">MMULT(H16:M16,m_P_trtC)</f>
        <v>338.25307664249124</v>
      </c>
      <c r="I17" s="155">
        <v>107.54537607681181</v>
      </c>
      <c r="J17" s="155">
        <v>65.431972894363966</v>
      </c>
      <c r="K17" s="155">
        <v>28.027602483215418</v>
      </c>
      <c r="L17" s="155">
        <v>318.73559471865633</v>
      </c>
      <c r="M17" s="155">
        <v>142.00637718446094</v>
      </c>
      <c r="O17" s="154">
        <v>5309491.6776279863</v>
      </c>
      <c r="Q17" s="154">
        <v>792.23846022176508</v>
      </c>
      <c r="S17" s="157">
        <f t="shared" si="0"/>
        <v>0.68095133999317792</v>
      </c>
      <c r="T17" s="157">
        <f t="shared" si="1"/>
        <v>0.68095133999317792</v>
      </c>
      <c r="V17" s="154">
        <v>0.66666666666666663</v>
      </c>
      <c r="X17" s="157">
        <f t="shared" si="2"/>
        <v>0.45396755999545191</v>
      </c>
      <c r="Y17" s="157">
        <f t="shared" si="3"/>
        <v>0.45396755999545191</v>
      </c>
    </row>
    <row r="18" spans="7:25" x14ac:dyDescent="0.2">
      <c r="G18" s="155">
        <v>14</v>
      </c>
      <c r="H18" s="155" cm="1">
        <f t="array" ref="H18:M18">MMULT(H17:M17,m_P_trtC)</f>
        <v>311.19283051109193</v>
      </c>
      <c r="I18" s="155">
        <v>106.02552666270329</v>
      </c>
      <c r="J18" s="155">
        <v>64.554874895683284</v>
      </c>
      <c r="K18" s="155">
        <v>27.211127942187218</v>
      </c>
      <c r="L18" s="155">
        <v>336.39684168642611</v>
      </c>
      <c r="M18" s="155">
        <v>154.61879830190787</v>
      </c>
      <c r="O18" s="154">
        <v>5504334.3154169573</v>
      </c>
      <c r="Q18" s="154">
        <v>779.70226081149815</v>
      </c>
      <c r="S18" s="157">
        <f t="shared" si="0"/>
        <v>0.66111780581861923</v>
      </c>
      <c r="T18" s="157">
        <f t="shared" si="1"/>
        <v>0.66111780581861923</v>
      </c>
      <c r="V18" s="154">
        <v>1.3333333333333333</v>
      </c>
      <c r="X18" s="157">
        <f t="shared" si="2"/>
        <v>0.8814904077581589</v>
      </c>
      <c r="Y18" s="157">
        <f t="shared" si="3"/>
        <v>0.8814904077581589</v>
      </c>
    </row>
    <row r="19" spans="7:25" x14ac:dyDescent="0.2">
      <c r="G19" s="155">
        <v>15</v>
      </c>
      <c r="H19" s="155" cm="1">
        <f t="array" ref="H19:M19">MMULT(H18:M18,m_P_trtC)</f>
        <v>286.29740407020455</v>
      </c>
      <c r="I19" s="155">
        <v>104.52381968541724</v>
      </c>
      <c r="J19" s="155">
        <v>63.647827444740024</v>
      </c>
      <c r="K19" s="155">
        <v>26.400723510557022</v>
      </c>
      <c r="L19" s="155">
        <v>352.26641941318871</v>
      </c>
      <c r="M19" s="155">
        <v>166.86380587589213</v>
      </c>
      <c r="O19" s="154">
        <v>5676556.1391498968</v>
      </c>
      <c r="Q19" s="154">
        <v>767.6256817854669</v>
      </c>
      <c r="S19" s="157">
        <f t="shared" si="0"/>
        <v>0.64186194739671765</v>
      </c>
      <c r="T19" s="157">
        <f t="shared" si="1"/>
        <v>0.64186194739671765</v>
      </c>
      <c r="V19" s="154">
        <v>0.66666666666666663</v>
      </c>
      <c r="X19" s="157">
        <f t="shared" si="2"/>
        <v>0.42790796493114508</v>
      </c>
      <c r="Y19" s="157">
        <f t="shared" si="3"/>
        <v>0.42790796493114508</v>
      </c>
    </row>
    <row r="20" spans="7:25" x14ac:dyDescent="0.2">
      <c r="G20" s="155">
        <v>16</v>
      </c>
      <c r="H20" s="155" cm="1">
        <f t="array" ref="H20:M20">MMULT(H19:M19,m_P_trtC)</f>
        <v>263.39361174458816</v>
      </c>
      <c r="I20" s="155">
        <v>103.05106534192791</v>
      </c>
      <c r="J20" s="155">
        <v>62.732391080581458</v>
      </c>
      <c r="K20" s="155">
        <v>25.610509912691562</v>
      </c>
      <c r="L20" s="155">
        <v>366.46829046456776</v>
      </c>
      <c r="M20" s="155">
        <v>178.74413145564279</v>
      </c>
      <c r="O20" s="154">
        <v>5828219.2101552691</v>
      </c>
      <c r="Q20" s="154">
        <v>755.98320642260592</v>
      </c>
      <c r="S20" s="157">
        <f t="shared" si="0"/>
        <v>0.62316693922011435</v>
      </c>
      <c r="T20" s="157">
        <f t="shared" si="1"/>
        <v>0.62316693922011435</v>
      </c>
      <c r="V20" s="154">
        <v>1.3333333333333333</v>
      </c>
      <c r="X20" s="157">
        <f t="shared" si="2"/>
        <v>0.83088925229348576</v>
      </c>
      <c r="Y20" s="157">
        <f t="shared" si="3"/>
        <v>0.83088925229348576</v>
      </c>
    </row>
    <row r="21" spans="7:25" x14ac:dyDescent="0.2">
      <c r="G21" s="155">
        <v>17</v>
      </c>
      <c r="H21" s="155" cm="1">
        <f t="array" ref="H21:M21">MMULT(H20:M20,m_P_trtC)</f>
        <v>242.32212280502108</v>
      </c>
      <c r="I21" s="155">
        <v>101.61290713674003</v>
      </c>
      <c r="J21" s="155">
        <v>61.822304722359362</v>
      </c>
      <c r="K21" s="155">
        <v>24.849049735878886</v>
      </c>
      <c r="L21" s="155">
        <v>379.1247546836463</v>
      </c>
      <c r="M21" s="155">
        <v>190.26886091635399</v>
      </c>
      <c r="O21" s="154">
        <v>5961171.1083061052</v>
      </c>
      <c r="Q21" s="154">
        <v>744.74949229260778</v>
      </c>
      <c r="S21" s="157">
        <f t="shared" si="0"/>
        <v>0.60501644584477121</v>
      </c>
      <c r="T21" s="157">
        <f t="shared" si="1"/>
        <v>0.60501644584477121</v>
      </c>
      <c r="V21" s="154">
        <v>0.66666666666666663</v>
      </c>
      <c r="X21" s="157">
        <f t="shared" si="2"/>
        <v>0.40334429722984744</v>
      </c>
      <c r="Y21" s="157">
        <f t="shared" si="3"/>
        <v>0.40334429722984744</v>
      </c>
    </row>
    <row r="22" spans="7:25" x14ac:dyDescent="0.2">
      <c r="G22" s="155">
        <v>18</v>
      </c>
      <c r="H22" s="155" cm="1">
        <f t="array" ref="H22:M22">MMULT(H21:M21,m_P_trtC)</f>
        <v>222.93635298061938</v>
      </c>
      <c r="I22" s="155">
        <v>100.21184874943239</v>
      </c>
      <c r="J22" s="155">
        <v>60.926063583656919</v>
      </c>
      <c r="K22" s="155">
        <v>24.12109180434356</v>
      </c>
      <c r="L22" s="155">
        <v>390.35370958444793</v>
      </c>
      <c r="M22" s="155">
        <v>201.45093329749949</v>
      </c>
      <c r="O22" s="154">
        <v>6077072.6864262363</v>
      </c>
      <c r="Q22" s="154">
        <v>733.89990217930551</v>
      </c>
      <c r="S22" s="157">
        <f t="shared" si="0"/>
        <v>0.5873946076162827</v>
      </c>
      <c r="T22" s="157">
        <f t="shared" si="1"/>
        <v>0.5873946076162827</v>
      </c>
      <c r="V22" s="154">
        <v>1.3333333333333333</v>
      </c>
      <c r="X22" s="157">
        <f t="shared" si="2"/>
        <v>0.78319281015504361</v>
      </c>
      <c r="Y22" s="157">
        <f t="shared" si="3"/>
        <v>0.78319281015504361</v>
      </c>
    </row>
    <row r="23" spans="7:25" x14ac:dyDescent="0.2">
      <c r="G23" s="155">
        <v>19</v>
      </c>
      <c r="H23" s="155" cm="1">
        <f t="array" ref="H23:M23">MMULT(H22:M22,m_P_trtC)</f>
        <v>205.1014447421698</v>
      </c>
      <c r="I23" s="155">
        <v>98.848507994567285</v>
      </c>
      <c r="J23" s="155">
        <v>60.048678866655919</v>
      </c>
      <c r="K23" s="155">
        <v>23.428818969526514</v>
      </c>
      <c r="L23" s="155">
        <v>400.26712481762604</v>
      </c>
      <c r="M23" s="155">
        <v>212.30542460945409</v>
      </c>
      <c r="O23" s="154">
        <v>6177422.4734263327</v>
      </c>
      <c r="Q23" s="154">
        <v>723.41083717848892</v>
      </c>
      <c r="S23" s="157">
        <f t="shared" si="0"/>
        <v>0.57028602681192497</v>
      </c>
      <c r="T23" s="157">
        <f t="shared" si="1"/>
        <v>0.57028602681192497</v>
      </c>
      <c r="V23" s="154">
        <v>0.66666666666666663</v>
      </c>
      <c r="X23" s="157">
        <f t="shared" si="2"/>
        <v>0.3801906845412833</v>
      </c>
      <c r="Y23" s="157">
        <f t="shared" si="3"/>
        <v>0.3801906845412833</v>
      </c>
    </row>
    <row r="24" spans="7:25" x14ac:dyDescent="0.2">
      <c r="G24" s="155">
        <v>20</v>
      </c>
      <c r="H24" s="155" cm="1">
        <f t="array" ref="H24:M24">MMULT(H23:M23,m_P_trtC)</f>
        <v>188.6933291627962</v>
      </c>
      <c r="I24" s="155">
        <v>97.52239261779134</v>
      </c>
      <c r="J24" s="155">
        <v>59.192870459122524</v>
      </c>
      <c r="K24" s="155">
        <v>22.772725762183345</v>
      </c>
      <c r="L24" s="155">
        <v>408.97028885236523</v>
      </c>
      <c r="M24" s="155">
        <v>222.84839314574103</v>
      </c>
      <c r="O24" s="154">
        <v>6263577.3727166038</v>
      </c>
      <c r="Q24" s="154">
        <v>713.25992837656258</v>
      </c>
      <c r="S24" s="157">
        <f t="shared" si="0"/>
        <v>0.55367575418633497</v>
      </c>
      <c r="T24" s="157">
        <f t="shared" si="1"/>
        <v>0.55367575418633497</v>
      </c>
      <c r="V24" s="154">
        <v>1.3333333333333333</v>
      </c>
      <c r="X24" s="157">
        <f t="shared" si="2"/>
        <v>0.73823433891511325</v>
      </c>
      <c r="Y24" s="157">
        <f t="shared" si="3"/>
        <v>0.73823433891511325</v>
      </c>
    </row>
    <row r="25" spans="7:25" x14ac:dyDescent="0.2">
      <c r="G25" s="155">
        <v>21</v>
      </c>
      <c r="H25" s="155" cm="1">
        <f t="array" ref="H25:M25">MMULT(H24:M24,m_P_trtC)</f>
        <v>173.59786282977248</v>
      </c>
      <c r="I25" s="155">
        <v>96.232379625278597</v>
      </c>
      <c r="J25" s="155">
        <v>58.359870185665045</v>
      </c>
      <c r="K25" s="155">
        <v>22.152226741588017</v>
      </c>
      <c r="L25" s="155">
        <v>416.56154087897198</v>
      </c>
      <c r="M25" s="155">
        <v>233.09611973872353</v>
      </c>
      <c r="O25" s="154">
        <v>6336769.9482171228</v>
      </c>
      <c r="Q25" s="154">
        <v>703.42613019383487</v>
      </c>
      <c r="S25" s="157">
        <f t="shared" si="0"/>
        <v>0.5375492759090631</v>
      </c>
      <c r="T25" s="157">
        <f t="shared" si="1"/>
        <v>0.5375492759090631</v>
      </c>
      <c r="V25" s="154">
        <v>0.66666666666666663</v>
      </c>
      <c r="X25" s="157">
        <f t="shared" si="2"/>
        <v>0.35836618393937536</v>
      </c>
      <c r="Y25" s="157">
        <f t="shared" si="3"/>
        <v>0.35836618393937536</v>
      </c>
    </row>
    <row r="26" spans="7:25" x14ac:dyDescent="0.2">
      <c r="G26" s="155">
        <v>22</v>
      </c>
      <c r="H26" s="155" cm="1">
        <f t="array" ref="H26:M26">MMULT(H25:M25,m_P_trtC)</f>
        <v>159.71003380339067</v>
      </c>
      <c r="I26" s="155">
        <v>94.977010451151585</v>
      </c>
      <c r="J26" s="155">
        <v>57.549959485181176</v>
      </c>
      <c r="K26" s="155">
        <v>21.56607252694149</v>
      </c>
      <c r="L26" s="155">
        <v>423.13230196089654</v>
      </c>
      <c r="M26" s="155">
        <v>243.06462177243813</v>
      </c>
      <c r="O26" s="154">
        <v>6398122.8123474866</v>
      </c>
      <c r="Q26" s="154">
        <v>693.88974720743329</v>
      </c>
      <c r="S26" s="157">
        <f t="shared" si="0"/>
        <v>0.52189250088258554</v>
      </c>
      <c r="T26" s="157">
        <f t="shared" si="1"/>
        <v>0.52189250088258554</v>
      </c>
      <c r="V26" s="154">
        <v>1.3333333333333333</v>
      </c>
      <c r="X26" s="157">
        <f t="shared" si="2"/>
        <v>0.69585666784344735</v>
      </c>
      <c r="Y26" s="157">
        <f t="shared" si="3"/>
        <v>0.69585666784344735</v>
      </c>
    </row>
    <row r="27" spans="7:25" x14ac:dyDescent="0.2">
      <c r="G27" s="155">
        <v>23</v>
      </c>
      <c r="H27" s="155" cm="1">
        <f t="array" ref="H27:M27">MMULT(H26:M26,m_P_trtC)</f>
        <v>146.93323109911941</v>
      </c>
      <c r="I27" s="155">
        <v>93.754671555721984</v>
      </c>
      <c r="J27" s="155">
        <v>56.762827077856677</v>
      </c>
      <c r="K27" s="155">
        <v>21.012630524281828</v>
      </c>
      <c r="L27" s="155">
        <v>428.76728533345783</v>
      </c>
      <c r="M27" s="155">
        <v>252.7693544095618</v>
      </c>
      <c r="O27" s="154">
        <v>6448660.6528146304</v>
      </c>
      <c r="Q27" s="154">
        <v>684.63241734895939</v>
      </c>
      <c r="S27" s="157">
        <f t="shared" si="0"/>
        <v>0.50669174842969467</v>
      </c>
      <c r="T27" s="157">
        <f t="shared" si="1"/>
        <v>0.50669174842969467</v>
      </c>
      <c r="V27" s="154">
        <v>0.66666666666666663</v>
      </c>
      <c r="X27" s="157">
        <f t="shared" si="2"/>
        <v>0.33779449895312974</v>
      </c>
      <c r="Y27" s="157">
        <f t="shared" si="3"/>
        <v>0.33779449895312974</v>
      </c>
    </row>
    <row r="28" spans="7:25" x14ac:dyDescent="0.2">
      <c r="G28" s="155">
        <v>24</v>
      </c>
      <c r="H28" s="155" cm="1">
        <f t="array" ref="H28:M28">MMULT(H27:M27,m_P_trtC)</f>
        <v>135.17857261118985</v>
      </c>
      <c r="I28" s="155">
        <v>92.563703686741007</v>
      </c>
      <c r="J28" s="155">
        <v>55.997805257151839</v>
      </c>
      <c r="K28" s="155">
        <v>20.490071634810612</v>
      </c>
      <c r="L28" s="155">
        <v>433.54480866461756</v>
      </c>
      <c r="M28" s="155">
        <v>262.22503814548861</v>
      </c>
      <c r="O28" s="154">
        <v>6489320.3748520659</v>
      </c>
      <c r="Q28" s="154">
        <v>675.63706760801824</v>
      </c>
      <c r="S28" s="157">
        <f t="shared" si="0"/>
        <v>0.49193373633950943</v>
      </c>
      <c r="T28" s="157">
        <f t="shared" si="1"/>
        <v>0.49193373633950943</v>
      </c>
      <c r="V28" s="154">
        <v>1.3333333333333333</v>
      </c>
      <c r="X28" s="157">
        <f t="shared" si="2"/>
        <v>0.65591164845267924</v>
      </c>
      <c r="Y28" s="157">
        <f t="shared" si="3"/>
        <v>0.65591164845267924</v>
      </c>
    </row>
    <row r="29" spans="7:25" x14ac:dyDescent="0.2">
      <c r="G29" s="155">
        <v>25</v>
      </c>
      <c r="H29" s="155" cm="1">
        <f t="array" ref="H29:M29">MMULT(H28:M28,m_P_trtC)</f>
        <v>124.36428680229466</v>
      </c>
      <c r="I29" s="155">
        <v>91.402466723029633</v>
      </c>
      <c r="J29" s="155">
        <v>55.254024730221886</v>
      </c>
      <c r="K29" s="155">
        <v>19.996492332089979</v>
      </c>
      <c r="L29" s="155">
        <v>437.53715903120991</v>
      </c>
      <c r="M29" s="155">
        <v>271.4455703811534</v>
      </c>
      <c r="O29" s="154">
        <v>6520959.7507121768</v>
      </c>
      <c r="Q29" s="154">
        <v>666.88785339622007</v>
      </c>
      <c r="S29" s="157">
        <f t="shared" si="0"/>
        <v>0.47760556926165965</v>
      </c>
      <c r="T29" s="157">
        <f t="shared" si="1"/>
        <v>0.47760556926165965</v>
      </c>
      <c r="V29" s="154">
        <v>0.66666666666666663</v>
      </c>
      <c r="X29" s="157">
        <f t="shared" si="2"/>
        <v>0.31840371284110641</v>
      </c>
      <c r="Y29" s="157">
        <f t="shared" si="3"/>
        <v>0.31840371284110641</v>
      </c>
    </row>
    <row r="30" spans="7:25" x14ac:dyDescent="0.2">
      <c r="G30" s="155">
        <v>26</v>
      </c>
      <c r="H30" s="155" cm="1">
        <f t="array" ref="H30:M30">MMULT(H29:M29,m_P_trtC)</f>
        <v>114.41514385811108</v>
      </c>
      <c r="I30" s="155">
        <v>90.269376898155599</v>
      </c>
      <c r="J30" s="155">
        <v>54.530515043710686</v>
      </c>
      <c r="K30" s="155">
        <v>19.52999274360122</v>
      </c>
      <c r="L30" s="155">
        <v>440.81097952582695</v>
      </c>
      <c r="M30" s="155">
        <v>280.44399193059388</v>
      </c>
      <c r="O30" s="154">
        <v>6544364.8850287339</v>
      </c>
      <c r="Q30" s="154">
        <v>658.37008914675471</v>
      </c>
      <c r="S30" s="157">
        <f t="shared" si="0"/>
        <v>0.46369472743850448</v>
      </c>
      <c r="T30" s="157">
        <f t="shared" si="1"/>
        <v>0.46369472743850448</v>
      </c>
      <c r="V30" s="154">
        <v>1.3333333333333333</v>
      </c>
      <c r="X30" s="157">
        <f t="shared" si="2"/>
        <v>0.61825963658467264</v>
      </c>
      <c r="Y30" s="157">
        <f t="shared" si="3"/>
        <v>0.61825963658467264</v>
      </c>
    </row>
    <row r="31" spans="7:25" x14ac:dyDescent="0.2">
      <c r="G31" s="155">
        <v>27</v>
      </c>
      <c r="H31" s="155" cm="1">
        <f t="array" ref="H31:M31">MMULT(H30:M30,m_P_trtC)</f>
        <v>105.26193234946219</v>
      </c>
      <c r="I31" s="155">
        <v>89.16292690518361</v>
      </c>
      <c r="J31" s="155">
        <v>53.8262688209008</v>
      </c>
      <c r="K31" s="155">
        <v>19.088725066938323</v>
      </c>
      <c r="L31" s="155">
        <v>443.4276581923001</v>
      </c>
      <c r="M31" s="155">
        <v>289.23248866521442</v>
      </c>
      <c r="O31" s="154">
        <v>6560256.7333347304</v>
      </c>
      <c r="Q31" s="154">
        <v>650.07017519564624</v>
      </c>
      <c r="S31" s="157">
        <f t="shared" si="0"/>
        <v>0.45018905576553836</v>
      </c>
      <c r="T31" s="157">
        <f t="shared" si="1"/>
        <v>0.45018905576553836</v>
      </c>
      <c r="V31" s="154">
        <v>0.66666666666666663</v>
      </c>
      <c r="X31" s="157">
        <f t="shared" si="2"/>
        <v>0.30012603717702557</v>
      </c>
      <c r="Y31" s="157">
        <f t="shared" si="3"/>
        <v>0.30012603717702557</v>
      </c>
    </row>
    <row r="32" spans="7:25" x14ac:dyDescent="0.2">
      <c r="G32" s="155">
        <v>28</v>
      </c>
      <c r="H32" s="155" cm="1">
        <f t="array" ref="H32:M32">MMULT(H31:M31,m_P_trtC)</f>
        <v>96.840977761505201</v>
      </c>
      <c r="I32" s="155">
        <v>88.08169545650253</v>
      </c>
      <c r="J32" s="155">
        <v>53.140282047241008</v>
      </c>
      <c r="K32" s="155">
        <v>18.670922180098906</v>
      </c>
      <c r="L32" s="155">
        <v>445.44370760931514</v>
      </c>
      <c r="M32" s="155">
        <v>297.82241494533667</v>
      </c>
      <c r="O32" s="154">
        <v>6569296.8539262051</v>
      </c>
      <c r="Q32" s="154">
        <v>641.97552423045352</v>
      </c>
      <c r="S32" s="157">
        <f t="shared" si="0"/>
        <v>0.4370767531704256</v>
      </c>
      <c r="T32" s="157">
        <f t="shared" si="1"/>
        <v>0.4370767531704256</v>
      </c>
      <c r="V32" s="154">
        <v>1.3333333333333333</v>
      </c>
      <c r="X32" s="157">
        <f t="shared" si="2"/>
        <v>0.5827690042272341</v>
      </c>
      <c r="Y32" s="157">
        <f t="shared" si="3"/>
        <v>0.5827690042272341</v>
      </c>
    </row>
    <row r="33" spans="7:25" x14ac:dyDescent="0.2">
      <c r="G33" s="155">
        <v>29</v>
      </c>
      <c r="H33" s="155" cm="1">
        <f t="array" ref="H33:M33">MMULT(H32:M32,m_P_trtC)</f>
        <v>89.09369954058478</v>
      </c>
      <c r="I33" s="155">
        <v>87.024350417629734</v>
      </c>
      <c r="J33" s="155">
        <v>52.4715785904162</v>
      </c>
      <c r="K33" s="155">
        <v>18.274913174750658</v>
      </c>
      <c r="L33" s="155">
        <v>446.91112835023688</v>
      </c>
      <c r="M33" s="155">
        <v>306.22432992638119</v>
      </c>
      <c r="O33" s="154">
        <v>6572092.529386404</v>
      </c>
      <c r="Q33" s="154">
        <v>634.07448938292964</v>
      </c>
      <c r="S33" s="157">
        <f t="shared" si="0"/>
        <v>0.42434636230138412</v>
      </c>
      <c r="T33" s="157">
        <f t="shared" si="1"/>
        <v>0.42434636230138412</v>
      </c>
      <c r="V33" s="154">
        <v>0.66666666666666663</v>
      </c>
      <c r="X33" s="157">
        <f t="shared" si="2"/>
        <v>0.28289757486758937</v>
      </c>
      <c r="Y33" s="157">
        <f t="shared" si="3"/>
        <v>0.28289757486758937</v>
      </c>
    </row>
    <row r="34" spans="7:25" x14ac:dyDescent="0.2">
      <c r="G34" s="155">
        <v>30</v>
      </c>
      <c r="H34" s="155" cm="1">
        <f t="array" ref="H34:M34">MMULT(H33:M33,m_P_trtC)</f>
        <v>81.966203577337993</v>
      </c>
      <c r="I34" s="155">
        <v>85.989648095521247</v>
      </c>
      <c r="J34" s="155">
        <v>51.819224412566662</v>
      </c>
      <c r="K34" s="155">
        <v>17.89913037134361</v>
      </c>
      <c r="L34" s="155">
        <v>447.87775268821093</v>
      </c>
      <c r="M34" s="155">
        <v>314.44804085501897</v>
      </c>
      <c r="O34" s="154">
        <v>6569201.361209943</v>
      </c>
      <c r="Q34" s="154">
        <v>626.35629522180307</v>
      </c>
      <c r="S34" s="157">
        <f t="shared" si="0"/>
        <v>0.41198675951590691</v>
      </c>
      <c r="T34" s="157">
        <f t="shared" si="1"/>
        <v>0.41198675951590691</v>
      </c>
      <c r="V34" s="154">
        <v>0.33333333333333331</v>
      </c>
      <c r="X34" s="157">
        <f t="shared" si="2"/>
        <v>0.13732891983863563</v>
      </c>
      <c r="Y34" s="157">
        <f t="shared" si="3"/>
        <v>0.13732891983863563</v>
      </c>
    </row>
  </sheetData>
  <mergeCells count="2">
    <mergeCell ref="G1:M1"/>
    <mergeCell ref="S1:T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116</vt:i4>
      </vt:variant>
    </vt:vector>
  </HeadingPairs>
  <TitlesOfParts>
    <vt:vector size="134" baseType="lpstr">
      <vt:lpstr>Parameters</vt:lpstr>
      <vt:lpstr>Life Table - Female</vt:lpstr>
      <vt:lpstr>Strategy 1 - phd</vt:lpstr>
      <vt:lpstr>Strategy 1 - Status quo</vt:lpstr>
      <vt:lpstr>Strategy 2 - phd</vt:lpstr>
      <vt:lpstr>Strategy 2 - Treatment A</vt:lpstr>
      <vt:lpstr>Strategy 3 - phd</vt:lpstr>
      <vt:lpstr>Strategy 3 - Treatment B</vt:lpstr>
      <vt:lpstr>Strategy 4 - phd</vt:lpstr>
      <vt:lpstr>Strategy 4 - Treatment C</vt:lpstr>
      <vt:lpstr>CEA results</vt:lpstr>
      <vt:lpstr>One-way DSA</vt:lpstr>
      <vt:lpstr>John's Template &gt;&gt;&gt;</vt:lpstr>
      <vt:lpstr>Transition Matrix</vt:lpstr>
      <vt:lpstr>S1 - Status quo</vt:lpstr>
      <vt:lpstr>S2 - trt A</vt:lpstr>
      <vt:lpstr>S3 - trt B</vt:lpstr>
      <vt:lpstr>S4 - trt C</vt:lpstr>
      <vt:lpstr>'S2 - trt A'!cost_quo</vt:lpstr>
      <vt:lpstr>'S3 - trt B'!cost_quo</vt:lpstr>
      <vt:lpstr>'S4 - trt C'!cost_quo</vt:lpstr>
      <vt:lpstr>cost_quo</vt:lpstr>
      <vt:lpstr>'S3 - trt B'!cost_trtA</vt:lpstr>
      <vt:lpstr>'S4 - trt C'!cost_trtA</vt:lpstr>
      <vt:lpstr>cost_trtA</vt:lpstr>
      <vt:lpstr>cost_trtB</vt:lpstr>
      <vt:lpstr>cost_trtC</vt:lpstr>
      <vt:lpstr>'S2 - trt A'!costs_quo</vt:lpstr>
      <vt:lpstr>'S3 - trt B'!costs_quo</vt:lpstr>
      <vt:lpstr>'S4 - trt C'!costs_quo</vt:lpstr>
      <vt:lpstr>costs_quo</vt:lpstr>
      <vt:lpstr>'S3 - trt B'!costs_trtA</vt:lpstr>
      <vt:lpstr>'S4 - trt C'!costs_trtA</vt:lpstr>
      <vt:lpstr>costs_trtA</vt:lpstr>
      <vt:lpstr>'S4 - trt C'!costs_trtB</vt:lpstr>
      <vt:lpstr>costs_trtB</vt:lpstr>
      <vt:lpstr>costs_trtC</vt:lpstr>
      <vt:lpstr>cTreatmentRemission</vt:lpstr>
      <vt:lpstr>cTreatmentStage1</vt:lpstr>
      <vt:lpstr>cTreatmentStage2</vt:lpstr>
      <vt:lpstr>cTreatmentStage3</vt:lpstr>
      <vt:lpstr>cTrtA</vt:lpstr>
      <vt:lpstr>cTrtB</vt:lpstr>
      <vt:lpstr>cTrtC</vt:lpstr>
      <vt:lpstr>cVisit</vt:lpstr>
      <vt:lpstr>discount_rate</vt:lpstr>
      <vt:lpstr>hrRemissionStage1_trtA</vt:lpstr>
      <vt:lpstr>hrRemissionStage1_trtB</vt:lpstr>
      <vt:lpstr>hrRemissionStage1_trtC</vt:lpstr>
      <vt:lpstr>hrRemissionStage2_trtA</vt:lpstr>
      <vt:lpstr>hrRemissionStage2_trtB</vt:lpstr>
      <vt:lpstr>hrRemissionStage2_trtC</vt:lpstr>
      <vt:lpstr>m_P_quo</vt:lpstr>
      <vt:lpstr>m_P_trtA</vt:lpstr>
      <vt:lpstr>m_P_trtB</vt:lpstr>
      <vt:lpstr>m_P_trtC</vt:lpstr>
      <vt:lpstr>nPop</vt:lpstr>
      <vt:lpstr>nVisitsRemission</vt:lpstr>
      <vt:lpstr>nVisitsStage1</vt:lpstr>
      <vt:lpstr>nVisitsStage2</vt:lpstr>
      <vt:lpstr>nVisitsStage3</vt:lpstr>
      <vt:lpstr>pHealthyStage1</vt:lpstr>
      <vt:lpstr>pHealthyStage2</vt:lpstr>
      <vt:lpstr>pHealthyStage3</vt:lpstr>
      <vt:lpstr>pRemissionStage1</vt:lpstr>
      <vt:lpstr>pRemissionStage1_trtA</vt:lpstr>
      <vt:lpstr>pRemissionStage1_trtB</vt:lpstr>
      <vt:lpstr>pRemissionStage1_trtC</vt:lpstr>
      <vt:lpstr>pRemissionStage2</vt:lpstr>
      <vt:lpstr>pRemissionStage2_trtA</vt:lpstr>
      <vt:lpstr>pRemissionStage2_trtB</vt:lpstr>
      <vt:lpstr>pRemissionStage2_trtC</vt:lpstr>
      <vt:lpstr>pStage1Remission</vt:lpstr>
      <vt:lpstr>pStage1Stage2</vt:lpstr>
      <vt:lpstr>pStage2Remission</vt:lpstr>
      <vt:lpstr>pStage2Stage1</vt:lpstr>
      <vt:lpstr>pStage2Stage3</vt:lpstr>
      <vt:lpstr>pStage3Death</vt:lpstr>
      <vt:lpstr>pStage3Stage2</vt:lpstr>
      <vt:lpstr>'S2 - trt A'!qaly_quo</vt:lpstr>
      <vt:lpstr>'S3 - trt B'!qaly_quo</vt:lpstr>
      <vt:lpstr>'S4 - trt C'!qaly_quo</vt:lpstr>
      <vt:lpstr>qaly_quo</vt:lpstr>
      <vt:lpstr>'S3 - trt B'!qaly_trtA</vt:lpstr>
      <vt:lpstr>'S4 - trt C'!qaly_trtA</vt:lpstr>
      <vt:lpstr>qaly_trtA</vt:lpstr>
      <vt:lpstr>qaly_trtB</vt:lpstr>
      <vt:lpstr>qaly_trtC</vt:lpstr>
      <vt:lpstr>'S2 - trt A'!qalys_quo</vt:lpstr>
      <vt:lpstr>'S3 - trt B'!qalys_quo</vt:lpstr>
      <vt:lpstr>'S4 - trt C'!qalys_quo</vt:lpstr>
      <vt:lpstr>qalys_quo</vt:lpstr>
      <vt:lpstr>'S3 - trt B'!qalys_trtA</vt:lpstr>
      <vt:lpstr>'S4 - trt C'!qalys_trtA</vt:lpstr>
      <vt:lpstr>qalys_trtA</vt:lpstr>
      <vt:lpstr>'S4 - trt C'!qalys_trtB</vt:lpstr>
      <vt:lpstr>qalys_trtB</vt:lpstr>
      <vt:lpstr>qalys_trtC</vt:lpstr>
      <vt:lpstr>rHealthyStage1</vt:lpstr>
      <vt:lpstr>rHealthyStage2</vt:lpstr>
      <vt:lpstr>rHealthyStage3</vt:lpstr>
      <vt:lpstr>rRemissionStage1</vt:lpstr>
      <vt:lpstr>rRemissionStage2</vt:lpstr>
      <vt:lpstr>rStage1Remission</vt:lpstr>
      <vt:lpstr>rStage1Stage2</vt:lpstr>
      <vt:lpstr>rStage2Remission</vt:lpstr>
      <vt:lpstr>rStage2Stage1</vt:lpstr>
      <vt:lpstr>rStage2Stage3</vt:lpstr>
      <vt:lpstr>rStage3Death</vt:lpstr>
      <vt:lpstr>rStage3Stage2</vt:lpstr>
      <vt:lpstr>uHealthy</vt:lpstr>
      <vt:lpstr>uRemission</vt:lpstr>
      <vt:lpstr>uStage1</vt:lpstr>
      <vt:lpstr>uStage2</vt:lpstr>
      <vt:lpstr>uStage3</vt:lpstr>
      <vt:lpstr>'S2 - trt A'!w_c_quo</vt:lpstr>
      <vt:lpstr>'S3 - trt B'!w_c_quo</vt:lpstr>
      <vt:lpstr>'S4 - trt C'!w_c_quo</vt:lpstr>
      <vt:lpstr>w_c_quo</vt:lpstr>
      <vt:lpstr>'S3 - trt B'!w_c_trtA</vt:lpstr>
      <vt:lpstr>'S4 - trt C'!w_c_trtA</vt:lpstr>
      <vt:lpstr>w_c_trtA</vt:lpstr>
      <vt:lpstr>w_c_trtB</vt:lpstr>
      <vt:lpstr>w_c_trtC</vt:lpstr>
      <vt:lpstr>'S2 - trt A'!w_e_quo</vt:lpstr>
      <vt:lpstr>'S3 - trt B'!w_e_quo</vt:lpstr>
      <vt:lpstr>'S4 - trt C'!w_e_quo</vt:lpstr>
      <vt:lpstr>w_e_quo</vt:lpstr>
      <vt:lpstr>'S3 - trt B'!w_e_trtA</vt:lpstr>
      <vt:lpstr>'S4 - trt C'!w_e_trtA</vt:lpstr>
      <vt:lpstr>w_e_trtA</vt:lpstr>
      <vt:lpstr>w_e_trtB</vt:lpstr>
      <vt:lpstr>w_e_trtC</vt:lpstr>
      <vt:lpstr>wtp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Horný</dc:creator>
  <cp:lastModifiedBy>Yu, Hanxuan</cp:lastModifiedBy>
  <dcterms:created xsi:type="dcterms:W3CDTF">2016-02-09T16:42:14Z</dcterms:created>
  <dcterms:modified xsi:type="dcterms:W3CDTF">2023-12-06T16:10:08Z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2022-10-27T05:31:57Z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ec4c4245-5eb5-480b-a20a-cdfd1a25ea5e</vt:lpwstr>
  </property>
  <property fmtid="{D5CDD505-2E9C-101B-9397-08002B2CF9AE}" pid="8" name="MSIP_Label_792c8cef-6f2b-4af1-b4ac-d815ff795cd6_ContentBits">
    <vt:lpwstr>0</vt:lpwstr>
  </property>
</Properties>
</file>