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tridyu/Documents/GitHub/MarkovDA/exercise_Fall2024/"/>
    </mc:Choice>
  </mc:AlternateContent>
  <xr:revisionPtr revIDLastSave="0" documentId="13_ncr:1_{E2F4C1BB-84F2-824C-B68E-3E8E5D82C5F7}" xr6:coauthVersionLast="47" xr6:coauthVersionMax="47" xr10:uidLastSave="{00000000-0000-0000-0000-000000000000}"/>
  <bookViews>
    <workbookView xWindow="5380" yWindow="660" windowWidth="33600" windowHeight="18660" activeTab="1" xr2:uid="{00000000-000D-0000-FFFF-FFFF00000000}"/>
  </bookViews>
  <sheets>
    <sheet name="Parameters" sheetId="1" r:id="rId1"/>
    <sheet name="Life Table - Female" sheetId="19" r:id="rId2"/>
    <sheet name="Strategy 1 - phd" sheetId="18" r:id="rId3"/>
    <sheet name="Strategy 1 - Status quo" sheetId="3" state="hidden" r:id="rId4"/>
    <sheet name="Strategy 2 - phd" sheetId="20" r:id="rId5"/>
    <sheet name="Strategy 2 - Treatment A" sheetId="6" state="hidden" r:id="rId6"/>
    <sheet name="Strategy 3 - phd" sheetId="21" r:id="rId7"/>
    <sheet name="Strategy 3 - Treatment B" sheetId="8" state="hidden" r:id="rId8"/>
    <sheet name="Strategy 4 - phd" sheetId="22" r:id="rId9"/>
    <sheet name="Strategy 4 - Treatment C" sheetId="9" state="hidden" r:id="rId10"/>
    <sheet name="CEA results" sheetId="4" r:id="rId11"/>
    <sheet name="One-way DSA" sheetId="10" state="hidden" r:id="rId12"/>
    <sheet name="John's Template &gt;&gt;&gt;" sheetId="11" state="hidden" r:id="rId13"/>
    <sheet name="Transition Matrix" sheetId="12" state="hidden" r:id="rId14"/>
    <sheet name="S1 - Status quo" sheetId="13" state="hidden" r:id="rId15"/>
    <sheet name="S2 - trt A" sheetId="15" state="hidden" r:id="rId16"/>
    <sheet name="S3 - trt B" sheetId="16" state="hidden" r:id="rId17"/>
    <sheet name="S4 - trt C" sheetId="17" state="hidden" r:id="rId18"/>
  </sheets>
  <definedNames>
    <definedName name="_xlnm._FilterDatabase" localSheetId="0" hidden="1">Parameters!$B$1:$G$62</definedName>
    <definedName name="cost_quo" localSheetId="15">'S2 - trt A'!$O$4:$O$34</definedName>
    <definedName name="cost_quo" localSheetId="16">'S3 - trt B'!$O$4:$O$34</definedName>
    <definedName name="cost_quo" localSheetId="17">'S4 - trt C'!$O$4:$O$34</definedName>
    <definedName name="cost_quo">'S1 - Status quo'!$O$4:$O$34</definedName>
    <definedName name="cost_trtA" localSheetId="16">'S3 - trt B'!$O$4:$O$34</definedName>
    <definedName name="cost_trtA" localSheetId="17">'S4 - trt C'!$O$4:$O$34</definedName>
    <definedName name="cost_trtA">'S2 - trt A'!$O$4:$O$34</definedName>
    <definedName name="cost_trtB">'S3 - trt B'!$O$4:$O$34</definedName>
    <definedName name="cost_trtC">'S4 - trt C'!$O$4:$O$34</definedName>
    <definedName name="costs_quo" localSheetId="15">'S2 - trt A'!$D$4:$D$9</definedName>
    <definedName name="costs_quo" localSheetId="16">'S3 - trt B'!$D$4:$D$9</definedName>
    <definedName name="costs_quo" localSheetId="17">'S4 - trt C'!$D$4:$D$9</definedName>
    <definedName name="costs_quo">'S1 - Status quo'!$D$4:$D$9</definedName>
    <definedName name="costs_trtA" localSheetId="16">'S3 - trt B'!$D$4:$D$9</definedName>
    <definedName name="costs_trtA" localSheetId="17">'S4 - trt C'!$D$4:$D$9</definedName>
    <definedName name="costs_trtA">'S2 - trt A'!$D$4:$D$9</definedName>
    <definedName name="costs_trtB" localSheetId="17">'S4 - trt C'!$D$4:$D$9</definedName>
    <definedName name="costs_trtB">'S3 - trt B'!$D$4:$D$9</definedName>
    <definedName name="costs_trtC">'S4 - trt C'!$D$4:$D$9</definedName>
    <definedName name="cTreatmentRemission">Parameters!$F$51</definedName>
    <definedName name="cTreatmentStage1">Parameters!$F$48</definedName>
    <definedName name="cTreatmentStage2">Parameters!$F$49</definedName>
    <definedName name="cTreatmentStage3">Parameters!$F$50</definedName>
    <definedName name="cTrtA">Parameters!$F$52</definedName>
    <definedName name="cTrtB">Parameters!$F$53</definedName>
    <definedName name="cTrtC">Parameters!$F$54</definedName>
    <definedName name="cVisit">Parameters!$F$47</definedName>
    <definedName name="discount_rate">Parameters!$F$6</definedName>
    <definedName name="hrRemissionStage1_trtA">Parameters!$F$37</definedName>
    <definedName name="hrRemissionStage1_trtB">Parameters!$F$39</definedName>
    <definedName name="hrRemissionStage1_trtC">Parameters!$F$41</definedName>
    <definedName name="hrRemissionStage2_trtA">Parameters!$F$38</definedName>
    <definedName name="hrRemissionStage2_trtB">Parameters!$F$40</definedName>
    <definedName name="hrRemissionStage2_trtC">Parameters!$F$42</definedName>
    <definedName name="m_P_quo">'Transition Matrix'!$L$5:$Q$10</definedName>
    <definedName name="m_P_trtA">'Transition Matrix'!$L$12:$Q$17</definedName>
    <definedName name="m_P_trtB">'Transition Matrix'!$L$19:$Q$24</definedName>
    <definedName name="m_P_trtC">'Transition Matrix'!$L$26:$Q$31</definedName>
    <definedName name="nPop">Parameters!$F$2</definedName>
    <definedName name="nVisitsRemission">Parameters!$F$46</definedName>
    <definedName name="nVisitsStage1">Parameters!$F$43</definedName>
    <definedName name="nVisitsStage2">Parameters!$F$44</definedName>
    <definedName name="nVisitsStage3">Parameters!$F$45</definedName>
    <definedName name="pHealthyStage1">Parameters!$F$7</definedName>
    <definedName name="pHealthyStage2">Parameters!$F$8</definedName>
    <definedName name="pHealthyStage3">Parameters!$F$9</definedName>
    <definedName name="pRemissionStage1">Parameters!$F$17</definedName>
    <definedName name="pRemissionStage1_trtA">Parameters!$F$19</definedName>
    <definedName name="pRemissionStage1_trtB">Parameters!$F$21</definedName>
    <definedName name="pRemissionStage1_trtC">Parameters!$F$23</definedName>
    <definedName name="pRemissionStage2">Parameters!$F$18</definedName>
    <definedName name="pRemissionStage2_trtA">Parameters!$F$20</definedName>
    <definedName name="pRemissionStage2_trtB">Parameters!$F$22</definedName>
    <definedName name="pRemissionStage2_trtC">Parameters!$F$24</definedName>
    <definedName name="pStage1Remission">Parameters!$F$11</definedName>
    <definedName name="pStage1Stage2">Parameters!$F$10</definedName>
    <definedName name="pStage2Remission">Parameters!$F$14</definedName>
    <definedName name="pStage2Stage1">Parameters!$F$12</definedName>
    <definedName name="pStage2Stage3">Parameters!$F$13</definedName>
    <definedName name="pStage3Death">Parameters!$F$16</definedName>
    <definedName name="pStage3Stage2">Parameters!$F$15</definedName>
    <definedName name="qaly_quo" localSheetId="15">'S2 - trt A'!$Q$4:$Q$34</definedName>
    <definedName name="qaly_quo" localSheetId="16">'S3 - trt B'!$Q$4:$Q$34</definedName>
    <definedName name="qaly_quo" localSheetId="17">'S4 - trt C'!$Q$4:$Q$34</definedName>
    <definedName name="qaly_quo">'S1 - Status quo'!$Q$4:$Q$34</definedName>
    <definedName name="qaly_trtA" localSheetId="16">'S3 - trt B'!$Q$4:$Q$34</definedName>
    <definedName name="qaly_trtA" localSheetId="17">'S4 - trt C'!$Q$4:$Q$34</definedName>
    <definedName name="qaly_trtA">'S2 - trt A'!$Q$4:$Q$34</definedName>
    <definedName name="qaly_trtB">'S3 - trt B'!$Q$4:$Q$34</definedName>
    <definedName name="qaly_trtC">'S4 - trt C'!$Q$4:$Q$34</definedName>
    <definedName name="qalys_quo" localSheetId="15">'S2 - trt A'!$E$4:$E$9</definedName>
    <definedName name="qalys_quo" localSheetId="16">'S3 - trt B'!$E$4:$E$9</definedName>
    <definedName name="qalys_quo" localSheetId="17">'S4 - trt C'!$E$4:$E$9</definedName>
    <definedName name="qalys_quo">'S1 - Status quo'!$E$4:$E$9</definedName>
    <definedName name="qalys_trtA" localSheetId="16">'S3 - trt B'!$E$4:$E$9</definedName>
    <definedName name="qalys_trtA" localSheetId="17">'S4 - trt C'!$E$4:$E$9</definedName>
    <definedName name="qalys_trtA">'S2 - trt A'!$E$4:$E$9</definedName>
    <definedName name="qalys_trtB" localSheetId="17">'S4 - trt C'!$E$4:$E$9</definedName>
    <definedName name="qalys_trtB">'S3 - trt B'!$E$4:$E$9</definedName>
    <definedName name="qalys_trtC">'S4 - trt C'!$E$4:$E$9</definedName>
    <definedName name="rHealthyStage1">Parameters!$F$25</definedName>
    <definedName name="rHealthyStage2">Parameters!$F$26</definedName>
    <definedName name="rHealthyStage3">Parameters!$F$27</definedName>
    <definedName name="rRemissionStage1">Parameters!$F$35</definedName>
    <definedName name="rRemissionStage2">Parameters!$F$36</definedName>
    <definedName name="rStage1Remission">Parameters!$F$29</definedName>
    <definedName name="rStage1Stage2">Parameters!$F$28</definedName>
    <definedName name="rStage2Remission">Parameters!$F$32</definedName>
    <definedName name="rStage2Stage1">Parameters!$F$30</definedName>
    <definedName name="rStage2Stage3">Parameters!$F$31</definedName>
    <definedName name="rStage3Death">Parameters!$F$34</definedName>
    <definedName name="rStage3Stage2">Parameters!$F$33</definedName>
    <definedName name="uHealthy">Parameters!$F$55</definedName>
    <definedName name="uRemission">Parameters!$F$59</definedName>
    <definedName name="uStage1">Parameters!$F$56</definedName>
    <definedName name="uStage2">Parameters!$F$57</definedName>
    <definedName name="uStage3">Parameters!$F$58</definedName>
    <definedName name="w_c_quo" localSheetId="15">'S2 - trt A'!$X$4:$X$34</definedName>
    <definedName name="w_c_quo" localSheetId="16">'S3 - trt B'!$X$4:$X$34</definedName>
    <definedName name="w_c_quo" localSheetId="17">'S4 - trt C'!$X$4:$X$34</definedName>
    <definedName name="w_c_quo">'S1 - Status quo'!$X$4:$X$34</definedName>
    <definedName name="w_c_trtA" localSheetId="16">'S3 - trt B'!$X$4:$X$34</definedName>
    <definedName name="w_c_trtA" localSheetId="17">'S4 - trt C'!$X$4:$X$34</definedName>
    <definedName name="w_c_trtA">'S2 - trt A'!$X$4:$X$34</definedName>
    <definedName name="w_c_trtB">'S3 - trt B'!$X$4:$X$34</definedName>
    <definedName name="w_c_trtC">'S4 - trt C'!$X$4:$X$34</definedName>
    <definedName name="w_e_quo" localSheetId="15">'S2 - trt A'!$Y$4:$Y$34</definedName>
    <definedName name="w_e_quo" localSheetId="16">'S3 - trt B'!$Y$4:$Y$34</definedName>
    <definedName name="w_e_quo" localSheetId="17">'S4 - trt C'!$Y$4:$Y$34</definedName>
    <definedName name="w_e_quo">'S1 - Status quo'!$Y$4:$Y$34</definedName>
    <definedName name="w_e_trtA" localSheetId="16">'S3 - trt B'!$Y$4:$Y$34</definedName>
    <definedName name="w_e_trtA" localSheetId="17">'S4 - trt C'!$Y$4:$Y$34</definedName>
    <definedName name="w_e_trtA">'S2 - trt A'!$Y$4:$Y$34</definedName>
    <definedName name="w_e_trtB">'S3 - trt B'!$Y$4:$Y$34</definedName>
    <definedName name="w_e_trtC">'S4 - trt C'!$Y$4:$Y$34</definedName>
    <definedName name="wtp">Parameters!$F$5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" i="22" l="1"/>
  <c r="R4" i="22"/>
  <c r="O5" i="22"/>
  <c r="O4" i="22"/>
  <c r="L4" i="22"/>
  <c r="L5" i="22" s="1"/>
  <c r="I4" i="22"/>
  <c r="F4" i="22"/>
  <c r="C5" i="22"/>
  <c r="C6" i="22" s="1"/>
  <c r="C7" i="22" s="1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4" i="22"/>
  <c r="U4" i="21"/>
  <c r="R4" i="21"/>
  <c r="O5" i="21"/>
  <c r="O4" i="21"/>
  <c r="L4" i="21"/>
  <c r="L5" i="21" s="1"/>
  <c r="I4" i="21"/>
  <c r="F4" i="21"/>
  <c r="C5" i="21"/>
  <c r="C6" i="21" s="1"/>
  <c r="C7" i="21" s="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29" i="21" s="1"/>
  <c r="C30" i="21" s="1"/>
  <c r="C31" i="21" s="1"/>
  <c r="C32" i="21" s="1"/>
  <c r="C33" i="21" s="1"/>
  <c r="U4" i="20"/>
  <c r="R4" i="20"/>
  <c r="O5" i="20"/>
  <c r="O4" i="20"/>
  <c r="L4" i="20"/>
  <c r="I5" i="20" s="1"/>
  <c r="I4" i="20"/>
  <c r="F5" i="20" s="1"/>
  <c r="F4" i="20"/>
  <c r="C5" i="20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C32" i="20" s="1"/>
  <c r="C33" i="20" s="1"/>
  <c r="C4" i="20"/>
  <c r="U4" i="18"/>
  <c r="R4" i="18"/>
  <c r="O5" i="18"/>
  <c r="O4" i="18"/>
  <c r="L4" i="18"/>
  <c r="I5" i="18" s="1"/>
  <c r="O6" i="18" s="1"/>
  <c r="I4" i="18"/>
  <c r="F5" i="18" s="1"/>
  <c r="F4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4" i="18"/>
  <c r="C4" i="21"/>
  <c r="R5" i="22" l="1"/>
  <c r="R6" i="22" s="1"/>
  <c r="F5" i="22"/>
  <c r="R5" i="21"/>
  <c r="R6" i="21" s="1"/>
  <c r="F5" i="21"/>
  <c r="L5" i="20"/>
  <c r="L6" i="20" s="1"/>
  <c r="R5" i="20"/>
  <c r="O6" i="20"/>
  <c r="R5" i="18"/>
  <c r="L5" i="18"/>
  <c r="L6" i="18" s="1"/>
  <c r="I5" i="22"/>
  <c r="L6" i="22" s="1"/>
  <c r="Q4" i="22"/>
  <c r="X3" i="22"/>
  <c r="B3" i="22"/>
  <c r="U3" i="21"/>
  <c r="P4" i="21"/>
  <c r="X3" i="21"/>
  <c r="B3" i="21"/>
  <c r="Q4" i="20"/>
  <c r="X3" i="20"/>
  <c r="B3" i="20"/>
  <c r="C3" i="20" s="1"/>
  <c r="Q4" i="18"/>
  <c r="X3" i="18"/>
  <c r="B3" i="18"/>
  <c r="C3" i="18" s="1"/>
  <c r="L15" i="1"/>
  <c r="K15" i="1"/>
  <c r="O5" i="10"/>
  <c r="O4" i="10"/>
  <c r="J5" i="10"/>
  <c r="J4" i="10"/>
  <c r="N5" i="10"/>
  <c r="N4" i="10"/>
  <c r="I5" i="10"/>
  <c r="I4" i="10"/>
  <c r="E7" i="10"/>
  <c r="D7" i="10"/>
  <c r="E3" i="10"/>
  <c r="D3" i="10"/>
  <c r="L19" i="1"/>
  <c r="K19" i="1"/>
  <c r="R7" i="22" l="1"/>
  <c r="O6" i="22"/>
  <c r="R6" i="20"/>
  <c r="R7" i="20" s="1"/>
  <c r="V4" i="22"/>
  <c r="R6" i="18"/>
  <c r="R7" i="18" s="1"/>
  <c r="F6" i="22"/>
  <c r="B4" i="22"/>
  <c r="U5" i="22" s="1"/>
  <c r="T4" i="21"/>
  <c r="S4" i="20"/>
  <c r="T4" i="18"/>
  <c r="I6" i="22"/>
  <c r="L7" i="22" s="1"/>
  <c r="P4" i="22"/>
  <c r="S4" i="22"/>
  <c r="T4" i="22"/>
  <c r="C3" i="22"/>
  <c r="Q4" i="21"/>
  <c r="C3" i="21"/>
  <c r="S4" i="21"/>
  <c r="V4" i="18"/>
  <c r="P4" i="20"/>
  <c r="V3" i="20"/>
  <c r="E3" i="20"/>
  <c r="Y3" i="20" s="1"/>
  <c r="T4" i="20"/>
  <c r="P4" i="18"/>
  <c r="E3" i="18"/>
  <c r="Y3" i="18" s="1"/>
  <c r="V3" i="18"/>
  <c r="S4" i="18"/>
  <c r="D8" i="17"/>
  <c r="T34" i="17"/>
  <c r="Y34" i="17" s="1"/>
  <c r="S34" i="17"/>
  <c r="X34" i="17" s="1"/>
  <c r="T33" i="17"/>
  <c r="Y33" i="17" s="1"/>
  <c r="S33" i="17"/>
  <c r="X33" i="17" s="1"/>
  <c r="T32" i="17"/>
  <c r="Y32" i="17" s="1"/>
  <c r="S32" i="17"/>
  <c r="X32" i="17" s="1"/>
  <c r="T31" i="17"/>
  <c r="Y31" i="17" s="1"/>
  <c r="S31" i="17"/>
  <c r="X31" i="17" s="1"/>
  <c r="T30" i="17"/>
  <c r="Y30" i="17" s="1"/>
  <c r="S30" i="17"/>
  <c r="X30" i="17" s="1"/>
  <c r="T29" i="17"/>
  <c r="Y29" i="17" s="1"/>
  <c r="S29" i="17"/>
  <c r="X29" i="17" s="1"/>
  <c r="T28" i="17"/>
  <c r="Y28" i="17" s="1"/>
  <c r="S28" i="17"/>
  <c r="X28" i="17" s="1"/>
  <c r="T27" i="17"/>
  <c r="Y27" i="17" s="1"/>
  <c r="S27" i="17"/>
  <c r="X27" i="17" s="1"/>
  <c r="T26" i="17"/>
  <c r="Y26" i="17" s="1"/>
  <c r="S26" i="17"/>
  <c r="X26" i="17" s="1"/>
  <c r="T25" i="17"/>
  <c r="Y25" i="17" s="1"/>
  <c r="S25" i="17"/>
  <c r="X25" i="17" s="1"/>
  <c r="T24" i="17"/>
  <c r="Y24" i="17" s="1"/>
  <c r="S24" i="17"/>
  <c r="X24" i="17" s="1"/>
  <c r="T23" i="17"/>
  <c r="Y23" i="17" s="1"/>
  <c r="S23" i="17"/>
  <c r="X23" i="17" s="1"/>
  <c r="T22" i="17"/>
  <c r="Y22" i="17" s="1"/>
  <c r="S22" i="17"/>
  <c r="X22" i="17" s="1"/>
  <c r="T21" i="17"/>
  <c r="Y21" i="17" s="1"/>
  <c r="S21" i="17"/>
  <c r="X21" i="17" s="1"/>
  <c r="T20" i="17"/>
  <c r="Y20" i="17" s="1"/>
  <c r="S20" i="17"/>
  <c r="X20" i="17" s="1"/>
  <c r="T19" i="17"/>
  <c r="Y19" i="17" s="1"/>
  <c r="S19" i="17"/>
  <c r="X19" i="17" s="1"/>
  <c r="T18" i="17"/>
  <c r="Y18" i="17" s="1"/>
  <c r="S18" i="17"/>
  <c r="X18" i="17" s="1"/>
  <c r="T17" i="17"/>
  <c r="Y17" i="17" s="1"/>
  <c r="S17" i="17"/>
  <c r="X17" i="17" s="1"/>
  <c r="T16" i="17"/>
  <c r="Y16" i="17" s="1"/>
  <c r="S16" i="17"/>
  <c r="X16" i="17" s="1"/>
  <c r="T15" i="17"/>
  <c r="Y15" i="17" s="1"/>
  <c r="S15" i="17"/>
  <c r="X15" i="17" s="1"/>
  <c r="T14" i="17"/>
  <c r="Y14" i="17" s="1"/>
  <c r="S14" i="17"/>
  <c r="X14" i="17" s="1"/>
  <c r="T13" i="17"/>
  <c r="Y13" i="17" s="1"/>
  <c r="S13" i="17"/>
  <c r="X13" i="17" s="1"/>
  <c r="T12" i="17"/>
  <c r="Y12" i="17" s="1"/>
  <c r="S12" i="17"/>
  <c r="X12" i="17" s="1"/>
  <c r="T11" i="17"/>
  <c r="Y11" i="17" s="1"/>
  <c r="S11" i="17"/>
  <c r="X11" i="17" s="1"/>
  <c r="T10" i="17"/>
  <c r="Y10" i="17" s="1"/>
  <c r="S10" i="17"/>
  <c r="X10" i="17" s="1"/>
  <c r="T9" i="17"/>
  <c r="Y9" i="17" s="1"/>
  <c r="S9" i="17"/>
  <c r="X9" i="17" s="1"/>
  <c r="E9" i="17"/>
  <c r="D9" i="17"/>
  <c r="T8" i="17"/>
  <c r="Y8" i="17" s="1"/>
  <c r="S8" i="17"/>
  <c r="X8" i="17" s="1"/>
  <c r="E8" i="17"/>
  <c r="T7" i="17"/>
  <c r="Y7" i="17" s="1"/>
  <c r="S7" i="17"/>
  <c r="X7" i="17" s="1"/>
  <c r="E7" i="17"/>
  <c r="D7" i="17"/>
  <c r="T6" i="17"/>
  <c r="Y6" i="17" s="1"/>
  <c r="S6" i="17"/>
  <c r="X6" i="17" s="1"/>
  <c r="E6" i="17"/>
  <c r="D6" i="17"/>
  <c r="T5" i="17"/>
  <c r="Y5" i="17" s="1"/>
  <c r="S5" i="17"/>
  <c r="X5" i="17" s="1"/>
  <c r="E5" i="17"/>
  <c r="D5" i="17"/>
  <c r="T4" i="17"/>
  <c r="Y4" i="17" s="1"/>
  <c r="S4" i="17"/>
  <c r="X4" i="17" s="1"/>
  <c r="E4" i="17"/>
  <c r="D8" i="16"/>
  <c r="T34" i="16"/>
  <c r="Y34" i="16" s="1"/>
  <c r="S34" i="16"/>
  <c r="X34" i="16" s="1"/>
  <c r="T33" i="16"/>
  <c r="Y33" i="16" s="1"/>
  <c r="S33" i="16"/>
  <c r="X33" i="16" s="1"/>
  <c r="T32" i="16"/>
  <c r="Y32" i="16" s="1"/>
  <c r="S32" i="16"/>
  <c r="X32" i="16" s="1"/>
  <c r="T31" i="16"/>
  <c r="Y31" i="16" s="1"/>
  <c r="S31" i="16"/>
  <c r="X31" i="16" s="1"/>
  <c r="T30" i="16"/>
  <c r="Y30" i="16" s="1"/>
  <c r="S30" i="16"/>
  <c r="X30" i="16" s="1"/>
  <c r="T29" i="16"/>
  <c r="Y29" i="16" s="1"/>
  <c r="S29" i="16"/>
  <c r="X29" i="16" s="1"/>
  <c r="T28" i="16"/>
  <c r="Y28" i="16" s="1"/>
  <c r="S28" i="16"/>
  <c r="X28" i="16" s="1"/>
  <c r="T27" i="16"/>
  <c r="Y27" i="16" s="1"/>
  <c r="S27" i="16"/>
  <c r="X27" i="16" s="1"/>
  <c r="T26" i="16"/>
  <c r="Y26" i="16" s="1"/>
  <c r="S26" i="16"/>
  <c r="X26" i="16" s="1"/>
  <c r="T25" i="16"/>
  <c r="Y25" i="16" s="1"/>
  <c r="S25" i="16"/>
  <c r="X25" i="16" s="1"/>
  <c r="T24" i="16"/>
  <c r="Y24" i="16" s="1"/>
  <c r="S24" i="16"/>
  <c r="X24" i="16" s="1"/>
  <c r="T23" i="16"/>
  <c r="Y23" i="16" s="1"/>
  <c r="S23" i="16"/>
  <c r="X23" i="16" s="1"/>
  <c r="T22" i="16"/>
  <c r="Y22" i="16" s="1"/>
  <c r="S22" i="16"/>
  <c r="X22" i="16" s="1"/>
  <c r="T21" i="16"/>
  <c r="Y21" i="16" s="1"/>
  <c r="S21" i="16"/>
  <c r="X21" i="16" s="1"/>
  <c r="T20" i="16"/>
  <c r="Y20" i="16" s="1"/>
  <c r="S20" i="16"/>
  <c r="X20" i="16" s="1"/>
  <c r="T19" i="16"/>
  <c r="Y19" i="16" s="1"/>
  <c r="S19" i="16"/>
  <c r="X19" i="16" s="1"/>
  <c r="T18" i="16"/>
  <c r="Y18" i="16" s="1"/>
  <c r="S18" i="16"/>
  <c r="X18" i="16" s="1"/>
  <c r="T17" i="16"/>
  <c r="Y17" i="16" s="1"/>
  <c r="S17" i="16"/>
  <c r="X17" i="16" s="1"/>
  <c r="T16" i="16"/>
  <c r="Y16" i="16" s="1"/>
  <c r="S16" i="16"/>
  <c r="X16" i="16" s="1"/>
  <c r="T15" i="16"/>
  <c r="Y15" i="16" s="1"/>
  <c r="S15" i="16"/>
  <c r="X15" i="16" s="1"/>
  <c r="T14" i="16"/>
  <c r="Y14" i="16" s="1"/>
  <c r="S14" i="16"/>
  <c r="X14" i="16" s="1"/>
  <c r="T13" i="16"/>
  <c r="Y13" i="16" s="1"/>
  <c r="S13" i="16"/>
  <c r="X13" i="16" s="1"/>
  <c r="T12" i="16"/>
  <c r="Y12" i="16" s="1"/>
  <c r="S12" i="16"/>
  <c r="X12" i="16" s="1"/>
  <c r="T11" i="16"/>
  <c r="Y11" i="16" s="1"/>
  <c r="S11" i="16"/>
  <c r="X11" i="16" s="1"/>
  <c r="T10" i="16"/>
  <c r="Y10" i="16" s="1"/>
  <c r="S10" i="16"/>
  <c r="X10" i="16" s="1"/>
  <c r="T9" i="16"/>
  <c r="Y9" i="16" s="1"/>
  <c r="S9" i="16"/>
  <c r="X9" i="16" s="1"/>
  <c r="E9" i="16"/>
  <c r="D9" i="16"/>
  <c r="T8" i="16"/>
  <c r="Y8" i="16" s="1"/>
  <c r="S8" i="16"/>
  <c r="X8" i="16" s="1"/>
  <c r="E8" i="16"/>
  <c r="T7" i="16"/>
  <c r="Y7" i="16" s="1"/>
  <c r="S7" i="16"/>
  <c r="X7" i="16" s="1"/>
  <c r="E7" i="16"/>
  <c r="D7" i="16"/>
  <c r="T6" i="16"/>
  <c r="Y6" i="16" s="1"/>
  <c r="S6" i="16"/>
  <c r="X6" i="16" s="1"/>
  <c r="E6" i="16"/>
  <c r="D6" i="16"/>
  <c r="T5" i="16"/>
  <c r="Y5" i="16" s="1"/>
  <c r="S5" i="16"/>
  <c r="X5" i="16" s="1"/>
  <c r="E5" i="16"/>
  <c r="D5" i="16"/>
  <c r="T4" i="16"/>
  <c r="Y4" i="16" s="1"/>
  <c r="S4" i="16"/>
  <c r="X4" i="16" s="1"/>
  <c r="E4" i="16"/>
  <c r="D8" i="15"/>
  <c r="T34" i="15"/>
  <c r="Y34" i="15" s="1"/>
  <c r="S34" i="15"/>
  <c r="X34" i="15" s="1"/>
  <c r="T33" i="15"/>
  <c r="Y33" i="15" s="1"/>
  <c r="S33" i="15"/>
  <c r="X33" i="15" s="1"/>
  <c r="T32" i="15"/>
  <c r="Y32" i="15" s="1"/>
  <c r="S32" i="15"/>
  <c r="X32" i="15" s="1"/>
  <c r="T31" i="15"/>
  <c r="Y31" i="15" s="1"/>
  <c r="S31" i="15"/>
  <c r="X31" i="15" s="1"/>
  <c r="T30" i="15"/>
  <c r="Y30" i="15" s="1"/>
  <c r="S30" i="15"/>
  <c r="X30" i="15" s="1"/>
  <c r="T29" i="15"/>
  <c r="Y29" i="15" s="1"/>
  <c r="S29" i="15"/>
  <c r="X29" i="15" s="1"/>
  <c r="T28" i="15"/>
  <c r="Y28" i="15" s="1"/>
  <c r="S28" i="15"/>
  <c r="X28" i="15" s="1"/>
  <c r="T27" i="15"/>
  <c r="Y27" i="15" s="1"/>
  <c r="S27" i="15"/>
  <c r="X27" i="15" s="1"/>
  <c r="T26" i="15"/>
  <c r="Y26" i="15" s="1"/>
  <c r="S26" i="15"/>
  <c r="X26" i="15" s="1"/>
  <c r="T25" i="15"/>
  <c r="Y25" i="15" s="1"/>
  <c r="S25" i="15"/>
  <c r="X25" i="15" s="1"/>
  <c r="T24" i="15"/>
  <c r="Y24" i="15" s="1"/>
  <c r="S24" i="15"/>
  <c r="X24" i="15" s="1"/>
  <c r="T23" i="15"/>
  <c r="Y23" i="15" s="1"/>
  <c r="S23" i="15"/>
  <c r="X23" i="15" s="1"/>
  <c r="T22" i="15"/>
  <c r="Y22" i="15" s="1"/>
  <c r="S22" i="15"/>
  <c r="X22" i="15" s="1"/>
  <c r="T21" i="15"/>
  <c r="Y21" i="15" s="1"/>
  <c r="S21" i="15"/>
  <c r="X21" i="15" s="1"/>
  <c r="T20" i="15"/>
  <c r="Y20" i="15" s="1"/>
  <c r="S20" i="15"/>
  <c r="X20" i="15" s="1"/>
  <c r="T19" i="15"/>
  <c r="Y19" i="15" s="1"/>
  <c r="S19" i="15"/>
  <c r="X19" i="15" s="1"/>
  <c r="T18" i="15"/>
  <c r="Y18" i="15" s="1"/>
  <c r="S18" i="15"/>
  <c r="X18" i="15" s="1"/>
  <c r="T17" i="15"/>
  <c r="Y17" i="15" s="1"/>
  <c r="S17" i="15"/>
  <c r="X17" i="15" s="1"/>
  <c r="T16" i="15"/>
  <c r="Y16" i="15" s="1"/>
  <c r="S16" i="15"/>
  <c r="X16" i="15" s="1"/>
  <c r="T15" i="15"/>
  <c r="Y15" i="15" s="1"/>
  <c r="S15" i="15"/>
  <c r="X15" i="15" s="1"/>
  <c r="T14" i="15"/>
  <c r="Y14" i="15" s="1"/>
  <c r="S14" i="15"/>
  <c r="X14" i="15" s="1"/>
  <c r="T13" i="15"/>
  <c r="Y13" i="15" s="1"/>
  <c r="S13" i="15"/>
  <c r="X13" i="15" s="1"/>
  <c r="T12" i="15"/>
  <c r="Y12" i="15" s="1"/>
  <c r="S12" i="15"/>
  <c r="X12" i="15" s="1"/>
  <c r="T11" i="15"/>
  <c r="Y11" i="15" s="1"/>
  <c r="S11" i="15"/>
  <c r="X11" i="15" s="1"/>
  <c r="T10" i="15"/>
  <c r="Y10" i="15" s="1"/>
  <c r="S10" i="15"/>
  <c r="X10" i="15" s="1"/>
  <c r="T9" i="15"/>
  <c r="Y9" i="15" s="1"/>
  <c r="S9" i="15"/>
  <c r="X9" i="15" s="1"/>
  <c r="E9" i="15"/>
  <c r="D9" i="15"/>
  <c r="T8" i="15"/>
  <c r="Y8" i="15" s="1"/>
  <c r="S8" i="15"/>
  <c r="X8" i="15" s="1"/>
  <c r="E8" i="15"/>
  <c r="T7" i="15"/>
  <c r="Y7" i="15" s="1"/>
  <c r="S7" i="15"/>
  <c r="X7" i="15" s="1"/>
  <c r="E7" i="15"/>
  <c r="D7" i="15"/>
  <c r="T6" i="15"/>
  <c r="Y6" i="15" s="1"/>
  <c r="S6" i="15"/>
  <c r="X6" i="15" s="1"/>
  <c r="E6" i="15"/>
  <c r="D6" i="15"/>
  <c r="T5" i="15"/>
  <c r="Y5" i="15" s="1"/>
  <c r="S5" i="15"/>
  <c r="X5" i="15" s="1"/>
  <c r="E5" i="15"/>
  <c r="D5" i="15"/>
  <c r="T4" i="15"/>
  <c r="Y4" i="15" s="1"/>
  <c r="S4" i="15"/>
  <c r="X4" i="15" s="1"/>
  <c r="E4" i="15"/>
  <c r="D8" i="13"/>
  <c r="D7" i="13"/>
  <c r="D6" i="13"/>
  <c r="D5" i="13"/>
  <c r="S5" i="13"/>
  <c r="X5" i="13" s="1"/>
  <c r="T5" i="13"/>
  <c r="Y5" i="13" s="1"/>
  <c r="S6" i="13"/>
  <c r="X6" i="13" s="1"/>
  <c r="T6" i="13"/>
  <c r="Y6" i="13" s="1"/>
  <c r="S7" i="13"/>
  <c r="X7" i="13" s="1"/>
  <c r="T7" i="13"/>
  <c r="Y7" i="13" s="1"/>
  <c r="S8" i="13"/>
  <c r="X8" i="13" s="1"/>
  <c r="T8" i="13"/>
  <c r="Y8" i="13" s="1"/>
  <c r="S9" i="13"/>
  <c r="X9" i="13" s="1"/>
  <c r="T9" i="13"/>
  <c r="Y9" i="13" s="1"/>
  <c r="S10" i="13"/>
  <c r="X10" i="13" s="1"/>
  <c r="T10" i="13"/>
  <c r="Y10" i="13" s="1"/>
  <c r="S11" i="13"/>
  <c r="X11" i="13" s="1"/>
  <c r="T11" i="13"/>
  <c r="Y11" i="13" s="1"/>
  <c r="S12" i="13"/>
  <c r="X12" i="13" s="1"/>
  <c r="T12" i="13"/>
  <c r="Y12" i="13" s="1"/>
  <c r="S13" i="13"/>
  <c r="X13" i="13" s="1"/>
  <c r="T13" i="13"/>
  <c r="Y13" i="13" s="1"/>
  <c r="S14" i="13"/>
  <c r="X14" i="13" s="1"/>
  <c r="T14" i="13"/>
  <c r="Y14" i="13" s="1"/>
  <c r="S15" i="13"/>
  <c r="X15" i="13" s="1"/>
  <c r="T15" i="13"/>
  <c r="Y15" i="13" s="1"/>
  <c r="S16" i="13"/>
  <c r="X16" i="13" s="1"/>
  <c r="T16" i="13"/>
  <c r="Y16" i="13" s="1"/>
  <c r="S17" i="13"/>
  <c r="X17" i="13" s="1"/>
  <c r="T17" i="13"/>
  <c r="Y17" i="13" s="1"/>
  <c r="S18" i="13"/>
  <c r="X18" i="13" s="1"/>
  <c r="T18" i="13"/>
  <c r="Y18" i="13" s="1"/>
  <c r="S19" i="13"/>
  <c r="X19" i="13" s="1"/>
  <c r="T19" i="13"/>
  <c r="Y19" i="13" s="1"/>
  <c r="S20" i="13"/>
  <c r="X20" i="13" s="1"/>
  <c r="T20" i="13"/>
  <c r="Y20" i="13" s="1"/>
  <c r="S21" i="13"/>
  <c r="X21" i="13" s="1"/>
  <c r="T21" i="13"/>
  <c r="Y21" i="13" s="1"/>
  <c r="S22" i="13"/>
  <c r="X22" i="13" s="1"/>
  <c r="T22" i="13"/>
  <c r="Y22" i="13" s="1"/>
  <c r="S23" i="13"/>
  <c r="X23" i="13" s="1"/>
  <c r="T23" i="13"/>
  <c r="Y23" i="13" s="1"/>
  <c r="S24" i="13"/>
  <c r="X24" i="13" s="1"/>
  <c r="T24" i="13"/>
  <c r="Y24" i="13" s="1"/>
  <c r="S25" i="13"/>
  <c r="X25" i="13" s="1"/>
  <c r="T25" i="13"/>
  <c r="Y25" i="13" s="1"/>
  <c r="S26" i="13"/>
  <c r="X26" i="13" s="1"/>
  <c r="T26" i="13"/>
  <c r="Y26" i="13" s="1"/>
  <c r="S27" i="13"/>
  <c r="X27" i="13" s="1"/>
  <c r="T27" i="13"/>
  <c r="Y27" i="13" s="1"/>
  <c r="S28" i="13"/>
  <c r="X28" i="13" s="1"/>
  <c r="T28" i="13"/>
  <c r="Y28" i="13" s="1"/>
  <c r="S29" i="13"/>
  <c r="X29" i="13" s="1"/>
  <c r="T29" i="13"/>
  <c r="Y29" i="13" s="1"/>
  <c r="S30" i="13"/>
  <c r="X30" i="13" s="1"/>
  <c r="T30" i="13"/>
  <c r="Y30" i="13" s="1"/>
  <c r="S31" i="13"/>
  <c r="X31" i="13" s="1"/>
  <c r="T31" i="13"/>
  <c r="Y31" i="13" s="1"/>
  <c r="S32" i="13"/>
  <c r="X32" i="13" s="1"/>
  <c r="T32" i="13"/>
  <c r="Y32" i="13" s="1"/>
  <c r="S33" i="13"/>
  <c r="X33" i="13" s="1"/>
  <c r="T33" i="13"/>
  <c r="Y33" i="13" s="1"/>
  <c r="S34" i="13"/>
  <c r="X34" i="13" s="1"/>
  <c r="T34" i="13"/>
  <c r="Y34" i="13" s="1"/>
  <c r="T4" i="13"/>
  <c r="Y4" i="13" s="1"/>
  <c r="S4" i="13"/>
  <c r="X4" i="13" s="1"/>
  <c r="D9" i="13"/>
  <c r="E9" i="13"/>
  <c r="E8" i="13"/>
  <c r="E7" i="13"/>
  <c r="E6" i="13"/>
  <c r="E5" i="13"/>
  <c r="E4" i="13"/>
  <c r="R8" i="22" l="1"/>
  <c r="O7" i="22"/>
  <c r="V4" i="20"/>
  <c r="B5" i="22"/>
  <c r="U6" i="22" s="1"/>
  <c r="I6" i="20"/>
  <c r="L7" i="20" s="1"/>
  <c r="R8" i="20" s="1"/>
  <c r="B4" i="20"/>
  <c r="U5" i="20" s="1"/>
  <c r="B4" i="18"/>
  <c r="U5" i="18" s="1"/>
  <c r="V5" i="22"/>
  <c r="E3" i="22"/>
  <c r="Y3" i="22" s="1"/>
  <c r="I5" i="21"/>
  <c r="V3" i="22"/>
  <c r="I6" i="18"/>
  <c r="L7" i="18" s="1"/>
  <c r="R8" i="18" s="1"/>
  <c r="F6" i="18"/>
  <c r="E3" i="21"/>
  <c r="Y3" i="21" s="1"/>
  <c r="V3" i="21"/>
  <c r="F6" i="20"/>
  <c r="G4" i="20"/>
  <c r="H4" i="20"/>
  <c r="K4" i="20"/>
  <c r="J4" i="20"/>
  <c r="N4" i="20"/>
  <c r="M4" i="20"/>
  <c r="E4" i="20"/>
  <c r="D4" i="20"/>
  <c r="G4" i="18"/>
  <c r="H4" i="18"/>
  <c r="K4" i="18"/>
  <c r="J4" i="18"/>
  <c r="N4" i="18"/>
  <c r="M4" i="18"/>
  <c r="E4" i="18"/>
  <c r="D4" i="18"/>
  <c r="Q27" i="12"/>
  <c r="Q20" i="12"/>
  <c r="AM31" i="12"/>
  <c r="AL31" i="12"/>
  <c r="AK31" i="12"/>
  <c r="AJ31" i="12"/>
  <c r="AI31" i="12"/>
  <c r="AH31" i="12"/>
  <c r="AM30" i="12"/>
  <c r="AK30" i="12"/>
  <c r="AH30" i="12"/>
  <c r="AL29" i="12"/>
  <c r="AI29" i="12"/>
  <c r="AH29" i="12"/>
  <c r="AM28" i="12"/>
  <c r="AH28" i="12"/>
  <c r="AM27" i="12"/>
  <c r="AK27" i="12"/>
  <c r="AH27" i="12"/>
  <c r="AM26" i="12"/>
  <c r="AL26" i="12"/>
  <c r="AM24" i="12"/>
  <c r="AL24" i="12"/>
  <c r="AK24" i="12"/>
  <c r="AJ24" i="12"/>
  <c r="AI24" i="12"/>
  <c r="AH24" i="12"/>
  <c r="AM23" i="12"/>
  <c r="AK23" i="12"/>
  <c r="AH23" i="12"/>
  <c r="AL22" i="12"/>
  <c r="AI22" i="12"/>
  <c r="AH22" i="12"/>
  <c r="AM21" i="12"/>
  <c r="AH21" i="12"/>
  <c r="AM20" i="12"/>
  <c r="AK20" i="12"/>
  <c r="AH20" i="12"/>
  <c r="AM19" i="12"/>
  <c r="AL19" i="12"/>
  <c r="AM17" i="12"/>
  <c r="AL17" i="12"/>
  <c r="AK17" i="12"/>
  <c r="AJ17" i="12"/>
  <c r="AI17" i="12"/>
  <c r="AH17" i="12"/>
  <c r="AM16" i="12"/>
  <c r="AK16" i="12"/>
  <c r="AH16" i="12"/>
  <c r="AL15" i="12"/>
  <c r="AI15" i="12"/>
  <c r="AH15" i="12"/>
  <c r="AM14" i="12"/>
  <c r="AH14" i="12"/>
  <c r="AM13" i="12"/>
  <c r="AK13" i="12"/>
  <c r="AH13" i="12"/>
  <c r="AM12" i="12"/>
  <c r="AL12" i="12"/>
  <c r="Q13" i="12"/>
  <c r="AH6" i="12"/>
  <c r="AK6" i="12"/>
  <c r="AM6" i="12"/>
  <c r="AH7" i="12"/>
  <c r="AM7" i="12"/>
  <c r="AH8" i="12"/>
  <c r="AI8" i="12"/>
  <c r="AL8" i="12"/>
  <c r="AH9" i="12"/>
  <c r="AK9" i="12"/>
  <c r="AM9" i="12"/>
  <c r="AH10" i="12"/>
  <c r="AI10" i="12"/>
  <c r="AJ10" i="12"/>
  <c r="AK10" i="12"/>
  <c r="AL10" i="12"/>
  <c r="AM10" i="12"/>
  <c r="AL5" i="12"/>
  <c r="AM5" i="12"/>
  <c r="F36" i="1"/>
  <c r="F38" i="1" s="1"/>
  <c r="F35" i="1"/>
  <c r="F37" i="1" s="1"/>
  <c r="F32" i="1"/>
  <c r="H7" i="12" s="1"/>
  <c r="AL7" i="12" s="1"/>
  <c r="F31" i="1"/>
  <c r="G7" i="12" s="1"/>
  <c r="AK7" i="12" s="1"/>
  <c r="F30" i="1"/>
  <c r="E7" i="12" s="1"/>
  <c r="AI7" i="12" s="1"/>
  <c r="F29" i="1"/>
  <c r="F28" i="1"/>
  <c r="F6" i="12" s="1"/>
  <c r="AJ6" i="12" s="1"/>
  <c r="F27" i="1"/>
  <c r="G5" i="12" s="1"/>
  <c r="AK5" i="12" s="1"/>
  <c r="F26" i="1"/>
  <c r="F5" i="12" s="1"/>
  <c r="AJ5" i="12" s="1"/>
  <c r="F25" i="1"/>
  <c r="E5" i="12" s="1"/>
  <c r="AI5" i="12" s="1"/>
  <c r="F34" i="1"/>
  <c r="I8" i="12" s="1"/>
  <c r="AM8" i="12" s="1"/>
  <c r="F33" i="1"/>
  <c r="F8" i="12" s="1"/>
  <c r="AJ8" i="12" s="1"/>
  <c r="L6" i="21" l="1"/>
  <c r="R7" i="21" s="1"/>
  <c r="O6" i="21"/>
  <c r="O7" i="20"/>
  <c r="O7" i="18"/>
  <c r="B5" i="20"/>
  <c r="U6" i="20" s="1"/>
  <c r="F6" i="21"/>
  <c r="B4" i="21"/>
  <c r="U5" i="21" s="1"/>
  <c r="V4" i="21"/>
  <c r="V5" i="20"/>
  <c r="V5" i="18"/>
  <c r="I7" i="18"/>
  <c r="L8" i="18" s="1"/>
  <c r="R9" i="18" s="1"/>
  <c r="B5" i="18"/>
  <c r="U6" i="18" s="1"/>
  <c r="I6" i="21"/>
  <c r="L7" i="21" s="1"/>
  <c r="K4" i="22"/>
  <c r="J4" i="22"/>
  <c r="H4" i="22"/>
  <c r="G4" i="22"/>
  <c r="N4" i="22"/>
  <c r="M4" i="22"/>
  <c r="D4" i="22"/>
  <c r="E4" i="22"/>
  <c r="H4" i="21"/>
  <c r="G4" i="21"/>
  <c r="K4" i="21"/>
  <c r="J4" i="21"/>
  <c r="M4" i="21"/>
  <c r="N4" i="21"/>
  <c r="E4" i="21"/>
  <c r="D4" i="21"/>
  <c r="I7" i="20"/>
  <c r="L8" i="20" s="1"/>
  <c r="R9" i="20" s="1"/>
  <c r="E5" i="20"/>
  <c r="D5" i="20"/>
  <c r="T5" i="20"/>
  <c r="S5" i="20"/>
  <c r="H5" i="20"/>
  <c r="G5" i="20"/>
  <c r="X4" i="20"/>
  <c r="K5" i="20"/>
  <c r="J5" i="20"/>
  <c r="Y4" i="20"/>
  <c r="M5" i="20"/>
  <c r="N5" i="20"/>
  <c r="Q5" i="20"/>
  <c r="P5" i="20"/>
  <c r="Y4" i="18"/>
  <c r="T5" i="18"/>
  <c r="S5" i="18"/>
  <c r="E5" i="18"/>
  <c r="D5" i="18"/>
  <c r="X4" i="18"/>
  <c r="M5" i="18"/>
  <c r="N5" i="18"/>
  <c r="H5" i="18"/>
  <c r="G5" i="18"/>
  <c r="J5" i="18"/>
  <c r="K5" i="18"/>
  <c r="Q5" i="18"/>
  <c r="P5" i="18"/>
  <c r="E6" i="12"/>
  <c r="AI6" i="12" s="1"/>
  <c r="N13" i="12"/>
  <c r="P13" i="12"/>
  <c r="H16" i="12"/>
  <c r="AL16" i="12" s="1"/>
  <c r="E20" i="12"/>
  <c r="AI20" i="12" s="1"/>
  <c r="F40" i="1"/>
  <c r="F23" i="12" s="1"/>
  <c r="AJ23" i="12" s="1"/>
  <c r="E26" i="12"/>
  <c r="AI26" i="12" s="1"/>
  <c r="F41" i="1"/>
  <c r="E30" i="12" s="1"/>
  <c r="AI30" i="12" s="1"/>
  <c r="F26" i="12"/>
  <c r="AJ26" i="12" s="1"/>
  <c r="F39" i="1"/>
  <c r="G19" i="12"/>
  <c r="AK19" i="12" s="1"/>
  <c r="D26" i="12"/>
  <c r="AH26" i="12" s="1"/>
  <c r="N19" i="12"/>
  <c r="H27" i="12"/>
  <c r="AL27" i="12" s="1"/>
  <c r="E13" i="12"/>
  <c r="AI13" i="12" s="1"/>
  <c r="G29" i="12"/>
  <c r="AK29" i="12" s="1"/>
  <c r="M19" i="12"/>
  <c r="F13" i="12"/>
  <c r="AJ13" i="12" s="1"/>
  <c r="N26" i="12"/>
  <c r="I29" i="12"/>
  <c r="AM29" i="12" s="1"/>
  <c r="G12" i="12"/>
  <c r="AK12" i="12" s="1"/>
  <c r="H13" i="12"/>
  <c r="AL13" i="12" s="1"/>
  <c r="O26" i="12"/>
  <c r="F15" i="12"/>
  <c r="AJ15" i="12" s="1"/>
  <c r="N27" i="12"/>
  <c r="N12" i="12"/>
  <c r="O12" i="12"/>
  <c r="F19" i="12"/>
  <c r="AJ19" i="12" s="1"/>
  <c r="M7" i="12"/>
  <c r="F42" i="1"/>
  <c r="N20" i="12"/>
  <c r="P27" i="12"/>
  <c r="F20" i="12"/>
  <c r="AJ20" i="12" s="1"/>
  <c r="G26" i="12"/>
  <c r="AK26" i="12" s="1"/>
  <c r="O7" i="12"/>
  <c r="N8" i="12"/>
  <c r="E9" i="12"/>
  <c r="Q8" i="12"/>
  <c r="E14" i="12"/>
  <c r="AI14" i="12" s="1"/>
  <c r="E16" i="12"/>
  <c r="AI16" i="12" s="1"/>
  <c r="P20" i="12"/>
  <c r="H20" i="12"/>
  <c r="AL20" i="12" s="1"/>
  <c r="E27" i="12"/>
  <c r="AI27" i="12" s="1"/>
  <c r="F14" i="12"/>
  <c r="AJ14" i="12" s="1"/>
  <c r="M14" i="12"/>
  <c r="F16" i="12"/>
  <c r="AJ16" i="12" s="1"/>
  <c r="M28" i="12"/>
  <c r="E21" i="12"/>
  <c r="AI21" i="12" s="1"/>
  <c r="F27" i="12"/>
  <c r="AJ27" i="12" s="1"/>
  <c r="P7" i="12"/>
  <c r="G14" i="12"/>
  <c r="AK14" i="12" s="1"/>
  <c r="F21" i="12"/>
  <c r="AJ21" i="12" s="1"/>
  <c r="O14" i="12"/>
  <c r="O28" i="12"/>
  <c r="M5" i="12"/>
  <c r="H14" i="12"/>
  <c r="AL14" i="12" s="1"/>
  <c r="P14" i="12"/>
  <c r="O21" i="12"/>
  <c r="P28" i="12"/>
  <c r="G21" i="12"/>
  <c r="AK21" i="12" s="1"/>
  <c r="E28" i="12"/>
  <c r="AI28" i="12" s="1"/>
  <c r="H9" i="12"/>
  <c r="AL9" i="12" s="1"/>
  <c r="P21" i="12"/>
  <c r="N29" i="12"/>
  <c r="H21" i="12"/>
  <c r="AL21" i="12" s="1"/>
  <c r="F28" i="12"/>
  <c r="AJ28" i="12" s="1"/>
  <c r="F9" i="12"/>
  <c r="N15" i="12"/>
  <c r="O5" i="12"/>
  <c r="D12" i="12"/>
  <c r="AH12" i="12" s="1"/>
  <c r="G15" i="12"/>
  <c r="AK15" i="12" s="1"/>
  <c r="Q15" i="12"/>
  <c r="N22" i="12"/>
  <c r="Q29" i="12"/>
  <c r="F22" i="12"/>
  <c r="AJ22" i="12" s="1"/>
  <c r="G28" i="12"/>
  <c r="AK28" i="12" s="1"/>
  <c r="O19" i="12"/>
  <c r="M21" i="12"/>
  <c r="N6" i="12"/>
  <c r="E12" i="12"/>
  <c r="AI12" i="12" s="1"/>
  <c r="I15" i="12"/>
  <c r="AM15" i="12" s="1"/>
  <c r="Q22" i="12"/>
  <c r="D19" i="12"/>
  <c r="AH19" i="12" s="1"/>
  <c r="G22" i="12"/>
  <c r="AK22" i="12" s="1"/>
  <c r="H28" i="12"/>
  <c r="AL28" i="12" s="1"/>
  <c r="N5" i="12"/>
  <c r="P6" i="12"/>
  <c r="F12" i="12"/>
  <c r="AJ12" i="12" s="1"/>
  <c r="M12" i="12"/>
  <c r="M26" i="12"/>
  <c r="E19" i="12"/>
  <c r="AI19" i="12" s="1"/>
  <c r="I22" i="12"/>
  <c r="AM22" i="12" s="1"/>
  <c r="F29" i="12"/>
  <c r="AJ29" i="12" s="1"/>
  <c r="G8" i="12"/>
  <c r="AK8" i="12" s="1"/>
  <c r="H6" i="12"/>
  <c r="AL6" i="12" s="1"/>
  <c r="F7" i="12"/>
  <c r="AJ7" i="12" s="1"/>
  <c r="D5" i="12"/>
  <c r="AH5" i="12" s="1"/>
  <c r="Q6" i="12"/>
  <c r="M5" i="10"/>
  <c r="M4" i="10"/>
  <c r="H5" i="10"/>
  <c r="H4" i="10"/>
  <c r="L5" i="10"/>
  <c r="L4" i="10"/>
  <c r="G5" i="10"/>
  <c r="G4" i="10"/>
  <c r="R8" i="21" l="1"/>
  <c r="O7" i="21"/>
  <c r="F7" i="20"/>
  <c r="O8" i="20" s="1"/>
  <c r="F7" i="18"/>
  <c r="O8" i="18" s="1"/>
  <c r="V5" i="21"/>
  <c r="V6" i="18"/>
  <c r="B5" i="21"/>
  <c r="U6" i="21" s="1"/>
  <c r="V6" i="20"/>
  <c r="B6" i="20"/>
  <c r="U7" i="20" s="1"/>
  <c r="B6" i="18"/>
  <c r="U7" i="18" s="1"/>
  <c r="F7" i="22"/>
  <c r="H5" i="22"/>
  <c r="G5" i="22"/>
  <c r="Y4" i="22"/>
  <c r="X4" i="22"/>
  <c r="Q5" i="22"/>
  <c r="P5" i="22"/>
  <c r="K5" i="22"/>
  <c r="J5" i="22"/>
  <c r="N5" i="22"/>
  <c r="M5" i="22"/>
  <c r="E5" i="22"/>
  <c r="D5" i="22"/>
  <c r="T5" i="22"/>
  <c r="S5" i="22"/>
  <c r="Y4" i="21"/>
  <c r="M5" i="21"/>
  <c r="N5" i="21"/>
  <c r="E5" i="21"/>
  <c r="D5" i="21"/>
  <c r="T5" i="21"/>
  <c r="S5" i="21"/>
  <c r="X4" i="21"/>
  <c r="H5" i="21"/>
  <c r="G5" i="21"/>
  <c r="Q5" i="21"/>
  <c r="P5" i="21"/>
  <c r="K5" i="21"/>
  <c r="J5" i="21"/>
  <c r="Q6" i="20"/>
  <c r="P6" i="20"/>
  <c r="S6" i="20"/>
  <c r="T6" i="20"/>
  <c r="N6" i="20"/>
  <c r="M6" i="20"/>
  <c r="K6" i="20"/>
  <c r="J6" i="20"/>
  <c r="H23" i="12"/>
  <c r="AL23" i="12" s="1"/>
  <c r="E6" i="20"/>
  <c r="D6" i="20"/>
  <c r="X5" i="20"/>
  <c r="G6" i="20"/>
  <c r="H6" i="20"/>
  <c r="Y5" i="20"/>
  <c r="M6" i="18"/>
  <c r="N6" i="18"/>
  <c r="K6" i="18"/>
  <c r="J6" i="18"/>
  <c r="D6" i="18"/>
  <c r="E6" i="18"/>
  <c r="X5" i="18"/>
  <c r="P6" i="18"/>
  <c r="Q6" i="18"/>
  <c r="G6" i="18"/>
  <c r="H6" i="18"/>
  <c r="Y5" i="18"/>
  <c r="S6" i="18"/>
  <c r="T6" i="18"/>
  <c r="M13" i="12"/>
  <c r="H30" i="12"/>
  <c r="AL30" i="12" s="1"/>
  <c r="O8" i="12"/>
  <c r="O29" i="12"/>
  <c r="L19" i="12"/>
  <c r="M27" i="12"/>
  <c r="L12" i="12"/>
  <c r="E23" i="12"/>
  <c r="AI23" i="12" s="1"/>
  <c r="AO19" i="12" s="1" a="1"/>
  <c r="AO19" i="12" s="1"/>
  <c r="F30" i="12"/>
  <c r="AJ30" i="12" s="1"/>
  <c r="N7" i="12"/>
  <c r="AO12" i="12" a="1"/>
  <c r="AO12" i="12" s="1"/>
  <c r="O15" i="12"/>
  <c r="M6" i="12"/>
  <c r="L26" i="12"/>
  <c r="N21" i="12"/>
  <c r="L5" i="12"/>
  <c r="N14" i="12"/>
  <c r="M20" i="12"/>
  <c r="O22" i="12"/>
  <c r="M9" i="12"/>
  <c r="AI9" i="12"/>
  <c r="M16" i="12"/>
  <c r="N16" i="12"/>
  <c r="N9" i="12"/>
  <c r="AJ9" i="12"/>
  <c r="N28" i="12"/>
  <c r="I7" i="22" l="1"/>
  <c r="L8" i="22" s="1"/>
  <c r="R9" i="22" s="1"/>
  <c r="I7" i="21"/>
  <c r="L8" i="21" s="1"/>
  <c r="R9" i="21" s="1"/>
  <c r="F7" i="21"/>
  <c r="I8" i="20"/>
  <c r="L9" i="20" s="1"/>
  <c r="R10" i="20" s="1"/>
  <c r="F8" i="20"/>
  <c r="I8" i="18"/>
  <c r="L9" i="18" s="1"/>
  <c r="R10" i="18" s="1"/>
  <c r="F8" i="18"/>
  <c r="V6" i="22"/>
  <c r="V6" i="21"/>
  <c r="B6" i="22"/>
  <c r="U7" i="22" s="1"/>
  <c r="B6" i="21"/>
  <c r="U7" i="21" s="1"/>
  <c r="V7" i="20"/>
  <c r="B7" i="20"/>
  <c r="U8" i="20" s="1"/>
  <c r="V7" i="18"/>
  <c r="B7" i="18"/>
  <c r="U8" i="18" s="1"/>
  <c r="S6" i="22"/>
  <c r="T6" i="22"/>
  <c r="N6" i="22"/>
  <c r="M6" i="22"/>
  <c r="K6" i="22"/>
  <c r="J6" i="22"/>
  <c r="E6" i="22"/>
  <c r="D6" i="22"/>
  <c r="X5" i="22"/>
  <c r="G6" i="22"/>
  <c r="H6" i="22"/>
  <c r="Y5" i="22"/>
  <c r="Q6" i="22"/>
  <c r="P6" i="22"/>
  <c r="X5" i="21"/>
  <c r="Y5" i="21"/>
  <c r="K6" i="21"/>
  <c r="J6" i="21"/>
  <c r="H6" i="21"/>
  <c r="G6" i="21"/>
  <c r="Q6" i="21"/>
  <c r="P6" i="21"/>
  <c r="M6" i="21"/>
  <c r="N6" i="21"/>
  <c r="E6" i="21"/>
  <c r="D6" i="21"/>
  <c r="S6" i="21"/>
  <c r="T6" i="21"/>
  <c r="T7" i="20"/>
  <c r="S7" i="20"/>
  <c r="AO26" i="12" a="1"/>
  <c r="AO26" i="12" s="1"/>
  <c r="AV26" i="12" s="1" a="1"/>
  <c r="D7" i="20"/>
  <c r="E7" i="20"/>
  <c r="X6" i="20"/>
  <c r="H7" i="20"/>
  <c r="G7" i="20"/>
  <c r="Y6" i="20"/>
  <c r="K7" i="20"/>
  <c r="J7" i="20"/>
  <c r="M7" i="20"/>
  <c r="N7" i="20"/>
  <c r="Q7" i="20"/>
  <c r="P7" i="20"/>
  <c r="K7" i="18"/>
  <c r="J7" i="18"/>
  <c r="X6" i="18"/>
  <c r="Q7" i="18"/>
  <c r="P7" i="18"/>
  <c r="Y6" i="18"/>
  <c r="H7" i="18"/>
  <c r="G7" i="18"/>
  <c r="D7" i="18"/>
  <c r="E7" i="18"/>
  <c r="N7" i="18"/>
  <c r="M7" i="18"/>
  <c r="T7" i="18"/>
  <c r="S7" i="18"/>
  <c r="AO5" i="12" a="1"/>
  <c r="AO5" i="12" s="1"/>
  <c r="AV5" i="12" s="1" a="1"/>
  <c r="N23" i="12"/>
  <c r="M23" i="12"/>
  <c r="P23" i="12" s="1"/>
  <c r="H5" i="16" s="1" a="1"/>
  <c r="H5" i="16" s="1"/>
  <c r="M30" i="12"/>
  <c r="P16" i="12"/>
  <c r="H5" i="15" s="1" a="1"/>
  <c r="H5" i="15" s="1"/>
  <c r="H6" i="15" s="1" a="1"/>
  <c r="H6" i="15" s="1"/>
  <c r="H7" i="15" s="1" a="1"/>
  <c r="H7" i="15" s="1"/>
  <c r="H8" i="15" s="1" a="1"/>
  <c r="H8" i="15" s="1"/>
  <c r="H9" i="15" s="1" a="1"/>
  <c r="H9" i="15" s="1"/>
  <c r="H10" i="15" s="1" a="1"/>
  <c r="H10" i="15" s="1"/>
  <c r="H11" i="15" s="1" a="1"/>
  <c r="H11" i="15" s="1"/>
  <c r="H12" i="15" s="1" a="1"/>
  <c r="H12" i="15" s="1"/>
  <c r="H13" i="15" s="1" a="1"/>
  <c r="H13" i="15" s="1"/>
  <c r="H14" i="15" s="1" a="1"/>
  <c r="H14" i="15" s="1"/>
  <c r="H15" i="15" s="1" a="1"/>
  <c r="H15" i="15" s="1"/>
  <c r="H16" i="15" s="1" a="1"/>
  <c r="H16" i="15" s="1"/>
  <c r="H17" i="15" s="1" a="1"/>
  <c r="H17" i="15" s="1"/>
  <c r="H18" i="15" s="1" a="1"/>
  <c r="H18" i="15" s="1"/>
  <c r="H19" i="15" s="1" a="1"/>
  <c r="H19" i="15" s="1"/>
  <c r="H20" i="15" s="1" a="1"/>
  <c r="H20" i="15" s="1"/>
  <c r="H21" i="15" s="1" a="1"/>
  <c r="H21" i="15" s="1"/>
  <c r="H22" i="15" s="1" a="1"/>
  <c r="H22" i="15" s="1"/>
  <c r="H23" i="15" s="1" a="1"/>
  <c r="H23" i="15" s="1"/>
  <c r="H24" i="15" s="1" a="1"/>
  <c r="H24" i="15" s="1"/>
  <c r="H25" i="15" s="1" a="1"/>
  <c r="H25" i="15" s="1"/>
  <c r="H26" i="15" s="1" a="1"/>
  <c r="H26" i="15" s="1"/>
  <c r="H27" i="15" s="1" a="1"/>
  <c r="H27" i="15" s="1"/>
  <c r="H28" i="15" s="1" a="1"/>
  <c r="H28" i="15" s="1"/>
  <c r="H29" i="15" s="1" a="1"/>
  <c r="H29" i="15" s="1"/>
  <c r="H30" i="15" s="1" a="1"/>
  <c r="H30" i="15" s="1"/>
  <c r="H31" i="15" s="1" a="1"/>
  <c r="H31" i="15" s="1"/>
  <c r="H32" i="15" s="1" a="1"/>
  <c r="H32" i="15" s="1"/>
  <c r="H33" i="15" s="1" a="1"/>
  <c r="H33" i="15" s="1"/>
  <c r="H34" i="15" s="1" a="1"/>
  <c r="H34" i="15" s="1"/>
  <c r="N30" i="12"/>
  <c r="P9" i="12"/>
  <c r="H5" i="13" a="1"/>
  <c r="H5" i="13" s="1"/>
  <c r="AV12" i="12" a="1"/>
  <c r="AV19" i="12" a="1"/>
  <c r="O4" i="9"/>
  <c r="Q4" i="9" s="1"/>
  <c r="R4" i="9"/>
  <c r="T4" i="9" s="1"/>
  <c r="W3" i="9"/>
  <c r="B3" i="9"/>
  <c r="C3" i="9" s="1"/>
  <c r="O4" i="8"/>
  <c r="Q4" i="8" s="1"/>
  <c r="R4" i="8"/>
  <c r="T4" i="8" s="1"/>
  <c r="W3" i="8"/>
  <c r="B3" i="8"/>
  <c r="O8" i="22" l="1"/>
  <c r="I8" i="22"/>
  <c r="L9" i="22" s="1"/>
  <c r="R10" i="22" s="1"/>
  <c r="F8" i="22"/>
  <c r="O8" i="21"/>
  <c r="I8" i="21"/>
  <c r="L9" i="21" s="1"/>
  <c r="R10" i="21" s="1"/>
  <c r="F8" i="21"/>
  <c r="O9" i="20"/>
  <c r="I9" i="20"/>
  <c r="L10" i="20" s="1"/>
  <c r="R11" i="20" s="1"/>
  <c r="O9" i="18"/>
  <c r="F9" i="20"/>
  <c r="I9" i="18"/>
  <c r="L10" i="18" s="1"/>
  <c r="R11" i="18" s="1"/>
  <c r="F9" i="18"/>
  <c r="V7" i="22"/>
  <c r="B7" i="22"/>
  <c r="U8" i="22" s="1"/>
  <c r="V7" i="21"/>
  <c r="B7" i="21"/>
  <c r="U8" i="21" s="1"/>
  <c r="V8" i="20"/>
  <c r="V8" i="18"/>
  <c r="B8" i="20"/>
  <c r="U9" i="20" s="1"/>
  <c r="B8" i="18"/>
  <c r="U9" i="18" s="1"/>
  <c r="Y6" i="22"/>
  <c r="Q7" i="22"/>
  <c r="P7" i="22"/>
  <c r="J7" i="22"/>
  <c r="K7" i="22"/>
  <c r="T7" i="22"/>
  <c r="S7" i="22"/>
  <c r="N7" i="22"/>
  <c r="M7" i="22"/>
  <c r="D7" i="22"/>
  <c r="E7" i="22"/>
  <c r="X6" i="22"/>
  <c r="H7" i="22"/>
  <c r="G7" i="22"/>
  <c r="T7" i="21"/>
  <c r="S7" i="21"/>
  <c r="P7" i="21"/>
  <c r="Q7" i="21"/>
  <c r="X6" i="21"/>
  <c r="Y6" i="21"/>
  <c r="K7" i="21"/>
  <c r="J7" i="21"/>
  <c r="M7" i="21"/>
  <c r="N7" i="21"/>
  <c r="H7" i="21"/>
  <c r="G7" i="21"/>
  <c r="E7" i="21"/>
  <c r="D7" i="21"/>
  <c r="Y7" i="20"/>
  <c r="N8" i="20"/>
  <c r="M8" i="20"/>
  <c r="E8" i="20"/>
  <c r="D8" i="20"/>
  <c r="X7" i="20"/>
  <c r="G8" i="20"/>
  <c r="H8" i="20"/>
  <c r="K8" i="20"/>
  <c r="J8" i="20"/>
  <c r="T8" i="20"/>
  <c r="S8" i="20"/>
  <c r="Q8" i="20"/>
  <c r="P8" i="20"/>
  <c r="E8" i="18"/>
  <c r="D8" i="18"/>
  <c r="Q8" i="18"/>
  <c r="P8" i="18"/>
  <c r="T8" i="18"/>
  <c r="S8" i="18"/>
  <c r="Y7" i="18"/>
  <c r="K8" i="18"/>
  <c r="J8" i="18"/>
  <c r="I4" i="9"/>
  <c r="E3" i="9"/>
  <c r="X3" i="9" s="1"/>
  <c r="N8" i="18"/>
  <c r="M8" i="18"/>
  <c r="H8" i="18"/>
  <c r="G8" i="18"/>
  <c r="X7" i="18"/>
  <c r="P30" i="12"/>
  <c r="H5" i="17" s="1" a="1"/>
  <c r="H5" i="17" s="1"/>
  <c r="H6" i="17" s="1" a="1"/>
  <c r="H6" i="17" s="1"/>
  <c r="H7" i="17" s="1" a="1"/>
  <c r="H7" i="17" s="1"/>
  <c r="H8" i="17" s="1" a="1"/>
  <c r="H8" i="17" s="1"/>
  <c r="H9" i="17" s="1" a="1"/>
  <c r="H9" i="17" s="1"/>
  <c r="H10" i="17" s="1" a="1"/>
  <c r="H10" i="17" s="1"/>
  <c r="H11" i="17" s="1" a="1"/>
  <c r="H11" i="17" s="1"/>
  <c r="H12" i="17" s="1" a="1"/>
  <c r="H12" i="17" s="1"/>
  <c r="H13" i="17" s="1" a="1"/>
  <c r="H13" i="17" s="1"/>
  <c r="H14" i="17" s="1" a="1"/>
  <c r="H14" i="17" s="1"/>
  <c r="H15" i="17" s="1" a="1"/>
  <c r="H15" i="17" s="1"/>
  <c r="H16" i="17" s="1" a="1"/>
  <c r="H16" i="17" s="1"/>
  <c r="H17" i="17" s="1" a="1"/>
  <c r="H17" i="17" s="1"/>
  <c r="H18" i="17" s="1" a="1"/>
  <c r="H18" i="17" s="1"/>
  <c r="H19" i="17" s="1" a="1"/>
  <c r="H19" i="17" s="1"/>
  <c r="H20" i="17" s="1" a="1"/>
  <c r="H20" i="17" s="1"/>
  <c r="H21" i="17" s="1" a="1"/>
  <c r="H21" i="17" s="1"/>
  <c r="H22" i="17" s="1" a="1"/>
  <c r="H22" i="17" s="1"/>
  <c r="H23" i="17" s="1" a="1"/>
  <c r="H23" i="17" s="1"/>
  <c r="H24" i="17" s="1" a="1"/>
  <c r="H24" i="17" s="1"/>
  <c r="H25" i="17" s="1" a="1"/>
  <c r="H25" i="17" s="1"/>
  <c r="H26" i="17" s="1" a="1"/>
  <c r="H26" i="17" s="1"/>
  <c r="H27" i="17" s="1" a="1"/>
  <c r="H27" i="17" s="1"/>
  <c r="H28" i="17" s="1" a="1"/>
  <c r="H28" i="17" s="1"/>
  <c r="H29" i="17" s="1" a="1"/>
  <c r="H29" i="17" s="1"/>
  <c r="H30" i="17" s="1" a="1"/>
  <c r="H30" i="17" s="1"/>
  <c r="H31" i="17" s="1" a="1"/>
  <c r="H31" i="17" s="1"/>
  <c r="H32" i="17" s="1" a="1"/>
  <c r="H32" i="17" s="1"/>
  <c r="H33" i="17" s="1" a="1"/>
  <c r="H33" i="17" s="1"/>
  <c r="H34" i="17" s="1" a="1"/>
  <c r="H34" i="17" s="1"/>
  <c r="H6" i="16" a="1"/>
  <c r="H6" i="16" s="1"/>
  <c r="H7" i="16" s="1" a="1"/>
  <c r="H7" i="16" s="1"/>
  <c r="H8" i="16" s="1" a="1"/>
  <c r="H8" i="16" s="1"/>
  <c r="H9" i="16" s="1" a="1"/>
  <c r="H9" i="16" s="1"/>
  <c r="H10" i="16" s="1" a="1"/>
  <c r="H10" i="16" s="1"/>
  <c r="H11" i="16" s="1" a="1"/>
  <c r="H11" i="16" s="1"/>
  <c r="H12" i="16" s="1" a="1"/>
  <c r="H12" i="16" s="1"/>
  <c r="H13" i="16" s="1" a="1"/>
  <c r="H13" i="16" s="1"/>
  <c r="H14" i="16" s="1" a="1"/>
  <c r="H14" i="16" s="1"/>
  <c r="H15" i="16" s="1" a="1"/>
  <c r="H15" i="16" s="1"/>
  <c r="H16" i="16" s="1" a="1"/>
  <c r="H16" i="16" s="1"/>
  <c r="H17" i="16" s="1" a="1"/>
  <c r="H17" i="16" s="1"/>
  <c r="H18" i="16" s="1" a="1"/>
  <c r="H18" i="16" s="1"/>
  <c r="H19" i="16" s="1" a="1"/>
  <c r="H19" i="16" s="1"/>
  <c r="H20" i="16" s="1" a="1"/>
  <c r="H20" i="16" s="1"/>
  <c r="H21" i="16" s="1" a="1"/>
  <c r="H21" i="16" s="1"/>
  <c r="H22" i="16" s="1" a="1"/>
  <c r="H22" i="16" s="1"/>
  <c r="H23" i="16" s="1" a="1"/>
  <c r="H23" i="16" s="1"/>
  <c r="H24" i="16" s="1" a="1"/>
  <c r="H24" i="16" s="1"/>
  <c r="H25" i="16" s="1" a="1"/>
  <c r="H25" i="16" s="1"/>
  <c r="H26" i="16" s="1" a="1"/>
  <c r="H26" i="16" s="1"/>
  <c r="H27" i="16" s="1" a="1"/>
  <c r="H27" i="16" s="1"/>
  <c r="H28" i="16" s="1" a="1"/>
  <c r="H28" i="16" s="1"/>
  <c r="H29" i="16" s="1" a="1"/>
  <c r="H29" i="16" s="1"/>
  <c r="H30" i="16" s="1" a="1"/>
  <c r="H30" i="16" s="1"/>
  <c r="H31" i="16" s="1" a="1"/>
  <c r="H31" i="16" s="1"/>
  <c r="H32" i="16" s="1" a="1"/>
  <c r="H32" i="16" s="1"/>
  <c r="H33" i="16" s="1" a="1"/>
  <c r="H33" i="16" s="1"/>
  <c r="H34" i="16" s="1" a="1"/>
  <c r="H34" i="16" s="1"/>
  <c r="H6" i="13" a="1"/>
  <c r="H6" i="13" s="1"/>
  <c r="H7" i="13" s="1" a="1"/>
  <c r="H7" i="13" s="1"/>
  <c r="H8" i="13" s="1" a="1"/>
  <c r="H8" i="13" s="1"/>
  <c r="H9" i="13" s="1" a="1"/>
  <c r="H9" i="13" s="1"/>
  <c r="H10" i="13" s="1" a="1"/>
  <c r="H10" i="13" s="1"/>
  <c r="H11" i="13" s="1" a="1"/>
  <c r="H11" i="13" s="1"/>
  <c r="H12" i="13" s="1" a="1"/>
  <c r="H12" i="13" s="1"/>
  <c r="H13" i="13" s="1" a="1"/>
  <c r="H13" i="13" s="1"/>
  <c r="H14" i="13" s="1" a="1"/>
  <c r="H14" i="13" s="1"/>
  <c r="H15" i="13" s="1" a="1"/>
  <c r="H15" i="13" s="1"/>
  <c r="H16" i="13" s="1" a="1"/>
  <c r="H16" i="13" s="1"/>
  <c r="H17" i="13" s="1" a="1"/>
  <c r="H17" i="13" s="1"/>
  <c r="H18" i="13" s="1" a="1"/>
  <c r="H18" i="13" s="1"/>
  <c r="H19" i="13" s="1" a="1"/>
  <c r="H19" i="13" s="1"/>
  <c r="H20" i="13" s="1" a="1"/>
  <c r="H20" i="13" s="1"/>
  <c r="H21" i="13" s="1" a="1"/>
  <c r="H21" i="13" s="1"/>
  <c r="H22" i="13" s="1" a="1"/>
  <c r="H22" i="13" s="1"/>
  <c r="H23" i="13" s="1" a="1"/>
  <c r="H23" i="13" s="1"/>
  <c r="H24" i="13" s="1" a="1"/>
  <c r="H24" i="13" s="1"/>
  <c r="H25" i="13" s="1" a="1"/>
  <c r="H25" i="13" s="1"/>
  <c r="H26" i="13" s="1" a="1"/>
  <c r="H26" i="13" s="1"/>
  <c r="H27" i="13" s="1" a="1"/>
  <c r="H27" i="13" s="1"/>
  <c r="H28" i="13" s="1" a="1"/>
  <c r="H28" i="13" s="1"/>
  <c r="H29" i="13" s="1" a="1"/>
  <c r="H29" i="13" s="1"/>
  <c r="H30" i="13" s="1" a="1"/>
  <c r="H30" i="13" s="1"/>
  <c r="H31" i="13" s="1" a="1"/>
  <c r="H31" i="13" s="1"/>
  <c r="H32" i="13" s="1" a="1"/>
  <c r="H32" i="13" s="1"/>
  <c r="H33" i="13" s="1" a="1"/>
  <c r="H33" i="13" s="1"/>
  <c r="H34" i="13" s="1" a="1"/>
  <c r="H34" i="13" s="1"/>
  <c r="AV26" i="12"/>
  <c r="AV5" i="12"/>
  <c r="AV19" i="12"/>
  <c r="AV12" i="12"/>
  <c r="P4" i="8"/>
  <c r="P4" i="9"/>
  <c r="F4" i="9"/>
  <c r="S4" i="9"/>
  <c r="C4" i="9"/>
  <c r="L4" i="9"/>
  <c r="B4" i="9"/>
  <c r="U3" i="9"/>
  <c r="S4" i="8"/>
  <c r="C3" i="8"/>
  <c r="E3" i="8" s="1"/>
  <c r="X3" i="8" s="1"/>
  <c r="O4" i="6"/>
  <c r="Q4" i="6" s="1"/>
  <c r="O9" i="22" l="1"/>
  <c r="I9" i="22"/>
  <c r="L10" i="22" s="1"/>
  <c r="R11" i="22" s="1"/>
  <c r="F9" i="22"/>
  <c r="O9" i="21"/>
  <c r="I9" i="21"/>
  <c r="L10" i="21" s="1"/>
  <c r="R11" i="21" s="1"/>
  <c r="F9" i="21"/>
  <c r="O10" i="20"/>
  <c r="O10" i="18"/>
  <c r="I10" i="20"/>
  <c r="L11" i="20" s="1"/>
  <c r="R12" i="20" s="1"/>
  <c r="F10" i="20"/>
  <c r="I10" i="18"/>
  <c r="L11" i="18" s="1"/>
  <c r="R12" i="18" s="1"/>
  <c r="F10" i="18"/>
  <c r="V8" i="22"/>
  <c r="B8" i="22"/>
  <c r="U9" i="22" s="1"/>
  <c r="V8" i="21"/>
  <c r="B8" i="21"/>
  <c r="U9" i="21" s="1"/>
  <c r="V9" i="20"/>
  <c r="B9" i="20"/>
  <c r="U10" i="20" s="1"/>
  <c r="V9" i="18"/>
  <c r="B9" i="18"/>
  <c r="U10" i="18" s="1"/>
  <c r="F10" i="22"/>
  <c r="Q8" i="22"/>
  <c r="P8" i="22"/>
  <c r="T8" i="22"/>
  <c r="S8" i="22"/>
  <c r="N8" i="22"/>
  <c r="M8" i="22"/>
  <c r="E8" i="22"/>
  <c r="D8" i="22"/>
  <c r="H8" i="22"/>
  <c r="G8" i="22"/>
  <c r="Y7" i="22"/>
  <c r="X7" i="22"/>
  <c r="K8" i="22"/>
  <c r="J8" i="22"/>
  <c r="Y7" i="21"/>
  <c r="X7" i="21"/>
  <c r="H8" i="21"/>
  <c r="G8" i="21"/>
  <c r="K8" i="21"/>
  <c r="J8" i="21"/>
  <c r="M8" i="21"/>
  <c r="N8" i="21"/>
  <c r="E8" i="21"/>
  <c r="D8" i="21"/>
  <c r="Q8" i="21"/>
  <c r="P8" i="21"/>
  <c r="T8" i="21"/>
  <c r="S8" i="21"/>
  <c r="H9" i="20"/>
  <c r="G9" i="20"/>
  <c r="X8" i="20"/>
  <c r="Y8" i="20"/>
  <c r="M9" i="20"/>
  <c r="N9" i="20"/>
  <c r="K9" i="20"/>
  <c r="J9" i="20"/>
  <c r="O5" i="9"/>
  <c r="P5" i="9" s="1"/>
  <c r="Q9" i="20"/>
  <c r="P9" i="20"/>
  <c r="T9" i="20"/>
  <c r="S9" i="20"/>
  <c r="D9" i="20"/>
  <c r="E9" i="20"/>
  <c r="Q9" i="18"/>
  <c r="P9" i="18"/>
  <c r="S9" i="18"/>
  <c r="T9" i="18"/>
  <c r="G9" i="18"/>
  <c r="H9" i="18"/>
  <c r="X8" i="18"/>
  <c r="K9" i="18"/>
  <c r="J9" i="18"/>
  <c r="E9" i="18"/>
  <c r="D9" i="18"/>
  <c r="Y8" i="18"/>
  <c r="M9" i="18"/>
  <c r="N9" i="18"/>
  <c r="Q4" i="17" a="1"/>
  <c r="Q4" i="17" s="1"/>
  <c r="AB3" i="17" s="1" a="1"/>
  <c r="AB3" i="17" s="1"/>
  <c r="O4" i="17" a="1"/>
  <c r="O4" i="17" s="1"/>
  <c r="AB2" i="17" s="1" a="1"/>
  <c r="AB2" i="17" s="1"/>
  <c r="Q4" i="16" a="1"/>
  <c r="Q4" i="16" s="1"/>
  <c r="AB3" i="16" s="1" a="1"/>
  <c r="AB3" i="16" s="1"/>
  <c r="O4" i="16" a="1"/>
  <c r="O4" i="16" s="1"/>
  <c r="AB2" i="16" s="1" a="1"/>
  <c r="AB2" i="16" s="1"/>
  <c r="O4" i="13" a="1"/>
  <c r="O4" i="13" s="1"/>
  <c r="AB2" i="13" s="1" a="1"/>
  <c r="AB2" i="13" s="1"/>
  <c r="Q4" i="13" a="1"/>
  <c r="Q4" i="13" s="1"/>
  <c r="AB3" i="13" s="1" a="1"/>
  <c r="AB3" i="13" s="1"/>
  <c r="BC19" i="12" a="1"/>
  <c r="BC5" i="12" a="1"/>
  <c r="BC12" i="12" a="1"/>
  <c r="BC26" i="12" a="1"/>
  <c r="I5" i="9"/>
  <c r="L5" i="9"/>
  <c r="F5" i="9"/>
  <c r="H4" i="9"/>
  <c r="G4" i="9"/>
  <c r="J4" i="9"/>
  <c r="K4" i="9"/>
  <c r="U4" i="9"/>
  <c r="M4" i="9"/>
  <c r="N4" i="9"/>
  <c r="R5" i="9"/>
  <c r="F4" i="8" a="1"/>
  <c r="F4" i="8" s="1"/>
  <c r="I4" i="8" a="1"/>
  <c r="I4" i="8" s="1"/>
  <c r="C5" i="9"/>
  <c r="B5" i="9"/>
  <c r="D4" i="9"/>
  <c r="E4" i="9"/>
  <c r="U3" i="8"/>
  <c r="P4" i="6"/>
  <c r="C4" i="8"/>
  <c r="B4" i="8"/>
  <c r="L4" i="8"/>
  <c r="R5" i="8" s="1"/>
  <c r="O10" i="22" l="1"/>
  <c r="I10" i="22"/>
  <c r="L11" i="22" s="1"/>
  <c r="R12" i="22" s="1"/>
  <c r="O10" i="21"/>
  <c r="I10" i="21"/>
  <c r="L11" i="21" s="1"/>
  <c r="R12" i="21" s="1"/>
  <c r="F10" i="21"/>
  <c r="O11" i="20"/>
  <c r="I11" i="20"/>
  <c r="L12" i="20" s="1"/>
  <c r="R13" i="20" s="1"/>
  <c r="F11" i="20"/>
  <c r="O11" i="18"/>
  <c r="I11" i="18"/>
  <c r="L12" i="18" s="1"/>
  <c r="R13" i="18" s="1"/>
  <c r="F11" i="18"/>
  <c r="V9" i="22"/>
  <c r="B9" i="22"/>
  <c r="U10" i="22" s="1"/>
  <c r="V9" i="21"/>
  <c r="B9" i="21"/>
  <c r="U10" i="21" s="1"/>
  <c r="V10" i="20"/>
  <c r="B10" i="20"/>
  <c r="U11" i="20" s="1"/>
  <c r="V10" i="18"/>
  <c r="B10" i="18"/>
  <c r="U11" i="18" s="1"/>
  <c r="Y8" i="22"/>
  <c r="K9" i="22"/>
  <c r="J9" i="22"/>
  <c r="H9" i="22"/>
  <c r="G9" i="22"/>
  <c r="M9" i="22"/>
  <c r="N9" i="22"/>
  <c r="Q9" i="22"/>
  <c r="P9" i="22"/>
  <c r="T9" i="22"/>
  <c r="S9" i="22"/>
  <c r="E9" i="22"/>
  <c r="D9" i="22"/>
  <c r="X8" i="22"/>
  <c r="M9" i="21"/>
  <c r="N9" i="21"/>
  <c r="E9" i="21"/>
  <c r="D9" i="21"/>
  <c r="T9" i="21"/>
  <c r="S9" i="21"/>
  <c r="X8" i="21"/>
  <c r="P9" i="21"/>
  <c r="Q9" i="21"/>
  <c r="Y8" i="21"/>
  <c r="H9" i="21"/>
  <c r="G9" i="21"/>
  <c r="K9" i="21"/>
  <c r="J9" i="21"/>
  <c r="Y9" i="20"/>
  <c r="X9" i="20"/>
  <c r="K10" i="20"/>
  <c r="J10" i="20"/>
  <c r="G10" i="20"/>
  <c r="H10" i="20"/>
  <c r="N10" i="20"/>
  <c r="M10" i="20"/>
  <c r="S10" i="20"/>
  <c r="T10" i="20"/>
  <c r="E10" i="20"/>
  <c r="D10" i="20"/>
  <c r="Q10" i="20"/>
  <c r="P10" i="20"/>
  <c r="D10" i="18"/>
  <c r="E10" i="18"/>
  <c r="T10" i="18"/>
  <c r="S10" i="18"/>
  <c r="X9" i="18"/>
  <c r="Q10" i="18"/>
  <c r="P10" i="18"/>
  <c r="Y9" i="18"/>
  <c r="G10" i="18"/>
  <c r="H10" i="18"/>
  <c r="K10" i="18"/>
  <c r="J10" i="18"/>
  <c r="N10" i="18"/>
  <c r="M10" i="18"/>
  <c r="I6" i="9"/>
  <c r="O6" i="9"/>
  <c r="P6" i="9" s="1"/>
  <c r="O4" i="15" a="1"/>
  <c r="O4" i="15" s="1"/>
  <c r="AB2" i="15" s="1" a="1"/>
  <c r="AB2" i="15" s="1"/>
  <c r="Q4" i="15" a="1"/>
  <c r="Q4" i="15" s="1"/>
  <c r="AB3" i="15" s="1" a="1"/>
  <c r="AB3" i="15" s="1"/>
  <c r="Y12" i="12"/>
  <c r="W17" i="12"/>
  <c r="Y13" i="12"/>
  <c r="W12" i="12"/>
  <c r="V15" i="12"/>
  <c r="W14" i="12"/>
  <c r="U15" i="12"/>
  <c r="U12" i="12"/>
  <c r="T16" i="12"/>
  <c r="X15" i="12"/>
  <c r="T13" i="12"/>
  <c r="U17" i="12"/>
  <c r="V13" i="12"/>
  <c r="W16" i="12"/>
  <c r="V16" i="12"/>
  <c r="U16" i="12"/>
  <c r="Y14" i="12"/>
  <c r="Y16" i="12"/>
  <c r="Y15" i="12"/>
  <c r="V14" i="12"/>
  <c r="V17" i="12"/>
  <c r="U14" i="12"/>
  <c r="T17" i="12"/>
  <c r="T14" i="12"/>
  <c r="X17" i="12"/>
  <c r="U13" i="12"/>
  <c r="Y17" i="12"/>
  <c r="T15" i="12"/>
  <c r="V12" i="12"/>
  <c r="X14" i="12"/>
  <c r="X12" i="12"/>
  <c r="W15" i="12"/>
  <c r="W13" i="12"/>
  <c r="X13" i="12"/>
  <c r="X16" i="12"/>
  <c r="Y5" i="12"/>
  <c r="V8" i="12"/>
  <c r="W8" i="12"/>
  <c r="X8" i="12"/>
  <c r="T9" i="12"/>
  <c r="U5" i="12"/>
  <c r="W9" i="12"/>
  <c r="V10" i="12"/>
  <c r="X6" i="12"/>
  <c r="T10" i="12"/>
  <c r="W10" i="12"/>
  <c r="Y10" i="12"/>
  <c r="V5" i="12"/>
  <c r="V6" i="12"/>
  <c r="T7" i="12"/>
  <c r="W6" i="12"/>
  <c r="U9" i="12"/>
  <c r="W7" i="12"/>
  <c r="X7" i="12"/>
  <c r="V7" i="12"/>
  <c r="U8" i="12"/>
  <c r="X10" i="12"/>
  <c r="Y9" i="12"/>
  <c r="Y8" i="12"/>
  <c r="X9" i="12"/>
  <c r="V9" i="12"/>
  <c r="T6" i="12"/>
  <c r="X5" i="12"/>
  <c r="U7" i="12"/>
  <c r="Y6" i="12"/>
  <c r="U6" i="12"/>
  <c r="Y7" i="12"/>
  <c r="W5" i="12"/>
  <c r="U10" i="12"/>
  <c r="T8" i="12"/>
  <c r="V30" i="12"/>
  <c r="V26" i="12"/>
  <c r="U29" i="12"/>
  <c r="X26" i="12"/>
  <c r="T29" i="12"/>
  <c r="Y29" i="12"/>
  <c r="X31" i="12"/>
  <c r="T30" i="12"/>
  <c r="X28" i="12"/>
  <c r="U30" i="12"/>
  <c r="T31" i="12"/>
  <c r="X27" i="12"/>
  <c r="T27" i="12"/>
  <c r="W31" i="12"/>
  <c r="V31" i="12"/>
  <c r="Y31" i="12"/>
  <c r="Y28" i="12"/>
  <c r="T28" i="12"/>
  <c r="Y27" i="12"/>
  <c r="U31" i="12"/>
  <c r="V29" i="12"/>
  <c r="Y26" i="12"/>
  <c r="V27" i="12"/>
  <c r="X29" i="12"/>
  <c r="X30" i="12"/>
  <c r="W26" i="12"/>
  <c r="U28" i="12"/>
  <c r="U26" i="12"/>
  <c r="W28" i="12"/>
  <c r="W30" i="12"/>
  <c r="V28" i="12"/>
  <c r="W27" i="12"/>
  <c r="Y30" i="12"/>
  <c r="W29" i="12"/>
  <c r="U27" i="12"/>
  <c r="T24" i="12"/>
  <c r="Y19" i="12"/>
  <c r="V20" i="12"/>
  <c r="T22" i="12"/>
  <c r="Y23" i="12"/>
  <c r="X20" i="12"/>
  <c r="T20" i="12"/>
  <c r="W19" i="12"/>
  <c r="X21" i="12"/>
  <c r="Y20" i="12"/>
  <c r="W20" i="12"/>
  <c r="V19" i="12"/>
  <c r="T23" i="12"/>
  <c r="Y21" i="12"/>
  <c r="Y24" i="12"/>
  <c r="V23" i="12"/>
  <c r="X24" i="12"/>
  <c r="U24" i="12"/>
  <c r="X22" i="12"/>
  <c r="V24" i="12"/>
  <c r="W24" i="12"/>
  <c r="T21" i="12"/>
  <c r="U23" i="12"/>
  <c r="X19" i="12"/>
  <c r="U21" i="12"/>
  <c r="V22" i="12"/>
  <c r="U22" i="12"/>
  <c r="U19" i="12"/>
  <c r="V21" i="12"/>
  <c r="X23" i="12"/>
  <c r="Y22" i="12"/>
  <c r="W23" i="12"/>
  <c r="W22" i="12"/>
  <c r="U20" i="12"/>
  <c r="W21" i="12"/>
  <c r="BC26" i="12"/>
  <c r="T26" i="12" s="1"/>
  <c r="BC5" i="12"/>
  <c r="T5" i="12" s="1"/>
  <c r="BC12" i="12"/>
  <c r="T12" i="12" s="1"/>
  <c r="BC19" i="12"/>
  <c r="T19" i="12" s="1"/>
  <c r="X4" i="9"/>
  <c r="F6" i="9"/>
  <c r="L6" i="9"/>
  <c r="O5" i="8"/>
  <c r="P5" i="8" s="1"/>
  <c r="T5" i="9"/>
  <c r="U5" i="9"/>
  <c r="S5" i="9"/>
  <c r="H5" i="9"/>
  <c r="G5" i="9"/>
  <c r="Q5" i="9"/>
  <c r="L5" i="8"/>
  <c r="F5" i="8" a="1"/>
  <c r="F5" i="8" s="1"/>
  <c r="I5" i="8" a="1"/>
  <c r="I5" i="8" s="1"/>
  <c r="C6" i="9"/>
  <c r="B6" i="9"/>
  <c r="E5" i="9"/>
  <c r="D5" i="9"/>
  <c r="K5" i="9"/>
  <c r="J5" i="9"/>
  <c r="W4" i="9"/>
  <c r="M5" i="9"/>
  <c r="N5" i="9"/>
  <c r="R6" i="9"/>
  <c r="K4" i="8"/>
  <c r="J4" i="8"/>
  <c r="N4" i="8"/>
  <c r="M4" i="8"/>
  <c r="H4" i="8"/>
  <c r="G4" i="8"/>
  <c r="C5" i="8"/>
  <c r="B5" i="8"/>
  <c r="E4" i="8"/>
  <c r="D4" i="8"/>
  <c r="U4" i="8"/>
  <c r="O11" i="22" l="1"/>
  <c r="I11" i="22"/>
  <c r="L12" i="22" s="1"/>
  <c r="R13" i="22" s="1"/>
  <c r="F11" i="22"/>
  <c r="O12" i="22" s="1"/>
  <c r="O11" i="21"/>
  <c r="O12" i="20"/>
  <c r="I11" i="21"/>
  <c r="L12" i="21" s="1"/>
  <c r="R13" i="21" s="1"/>
  <c r="F11" i="21"/>
  <c r="I12" i="20"/>
  <c r="L13" i="20" s="1"/>
  <c r="R14" i="20" s="1"/>
  <c r="F12" i="20"/>
  <c r="O12" i="18"/>
  <c r="I12" i="18"/>
  <c r="L13" i="18" s="1"/>
  <c r="R14" i="18" s="1"/>
  <c r="F12" i="18"/>
  <c r="V10" i="22"/>
  <c r="V10" i="21"/>
  <c r="B10" i="22"/>
  <c r="U11" i="22" s="1"/>
  <c r="B10" i="21"/>
  <c r="U11" i="21" s="1"/>
  <c r="V11" i="20"/>
  <c r="B11" i="20"/>
  <c r="U12" i="20" s="1"/>
  <c r="V11" i="18"/>
  <c r="B11" i="18"/>
  <c r="U12" i="18" s="1"/>
  <c r="X9" i="22"/>
  <c r="H10" i="22"/>
  <c r="G10" i="22"/>
  <c r="T10" i="22"/>
  <c r="S10" i="22"/>
  <c r="Y9" i="22"/>
  <c r="N10" i="22"/>
  <c r="M10" i="22"/>
  <c r="K10" i="22"/>
  <c r="J10" i="22"/>
  <c r="Q10" i="22"/>
  <c r="P10" i="22"/>
  <c r="E10" i="22"/>
  <c r="D10" i="22"/>
  <c r="X9" i="21"/>
  <c r="Q10" i="21"/>
  <c r="P10" i="21"/>
  <c r="Y9" i="21"/>
  <c r="H10" i="21"/>
  <c r="G10" i="21"/>
  <c r="K10" i="21"/>
  <c r="J10" i="21"/>
  <c r="M10" i="21"/>
  <c r="N10" i="21"/>
  <c r="E10" i="21"/>
  <c r="D10" i="21"/>
  <c r="T10" i="21"/>
  <c r="S10" i="21"/>
  <c r="T11" i="20"/>
  <c r="S11" i="20"/>
  <c r="X10" i="20"/>
  <c r="H11" i="20"/>
  <c r="G11" i="20"/>
  <c r="Y10" i="20"/>
  <c r="K11" i="20"/>
  <c r="J11" i="20"/>
  <c r="Q11" i="20"/>
  <c r="P11" i="20"/>
  <c r="N11" i="20"/>
  <c r="M11" i="20"/>
  <c r="E11" i="20"/>
  <c r="D11" i="20"/>
  <c r="O7" i="9"/>
  <c r="P7" i="9" s="1"/>
  <c r="T11" i="18"/>
  <c r="S11" i="18"/>
  <c r="Y10" i="18"/>
  <c r="G11" i="18"/>
  <c r="H11" i="18"/>
  <c r="K11" i="18"/>
  <c r="J11" i="18"/>
  <c r="X10" i="18"/>
  <c r="Q11" i="18"/>
  <c r="P11" i="18"/>
  <c r="N11" i="18"/>
  <c r="M11" i="18"/>
  <c r="E11" i="18"/>
  <c r="D11" i="18"/>
  <c r="L7" i="9"/>
  <c r="F7" i="9"/>
  <c r="I6" i="8" a="1"/>
  <c r="I6" i="8" s="1"/>
  <c r="I7" i="9"/>
  <c r="K6" i="9"/>
  <c r="J6" i="9"/>
  <c r="L6" i="8"/>
  <c r="R6" i="8"/>
  <c r="X5" i="9"/>
  <c r="H6" i="9"/>
  <c r="G6" i="9"/>
  <c r="M6" i="9"/>
  <c r="R7" i="9"/>
  <c r="N6" i="9"/>
  <c r="S6" i="9"/>
  <c r="T6" i="9"/>
  <c r="U6" i="9"/>
  <c r="C7" i="9"/>
  <c r="B7" i="9"/>
  <c r="D6" i="9"/>
  <c r="E6" i="9"/>
  <c r="F6" i="8" a="1"/>
  <c r="F6" i="8" s="1"/>
  <c r="W5" i="9"/>
  <c r="Q6" i="9"/>
  <c r="O6" i="8"/>
  <c r="P6" i="8" s="1"/>
  <c r="Q5" i="8"/>
  <c r="N5" i="8"/>
  <c r="M5" i="8"/>
  <c r="E5" i="8"/>
  <c r="D5" i="8"/>
  <c r="C6" i="8"/>
  <c r="B6" i="8"/>
  <c r="T5" i="8"/>
  <c r="U5" i="8"/>
  <c r="S5" i="8"/>
  <c r="W4" i="8"/>
  <c r="K5" i="8"/>
  <c r="J5" i="8"/>
  <c r="H5" i="8"/>
  <c r="G5" i="8"/>
  <c r="X4" i="8"/>
  <c r="I12" i="22" l="1"/>
  <c r="L13" i="22" s="1"/>
  <c r="R14" i="22" s="1"/>
  <c r="F12" i="22"/>
  <c r="O13" i="22" s="1"/>
  <c r="O12" i="21"/>
  <c r="I12" i="21"/>
  <c r="L13" i="21" s="1"/>
  <c r="R14" i="21" s="1"/>
  <c r="F12" i="21"/>
  <c r="O13" i="20"/>
  <c r="I13" i="20"/>
  <c r="L14" i="20" s="1"/>
  <c r="R15" i="20" s="1"/>
  <c r="F13" i="20"/>
  <c r="O13" i="18"/>
  <c r="I13" i="18"/>
  <c r="L14" i="18" s="1"/>
  <c r="R15" i="18" s="1"/>
  <c r="F13" i="18"/>
  <c r="V11" i="22"/>
  <c r="V11" i="21"/>
  <c r="B11" i="22"/>
  <c r="U12" i="22" s="1"/>
  <c r="B11" i="21"/>
  <c r="U12" i="21" s="1"/>
  <c r="V12" i="20"/>
  <c r="B12" i="18"/>
  <c r="U13" i="18" s="1"/>
  <c r="V12" i="18"/>
  <c r="B12" i="20"/>
  <c r="U13" i="20" s="1"/>
  <c r="F13" i="22"/>
  <c r="X10" i="22"/>
  <c r="Y10" i="22"/>
  <c r="T11" i="22"/>
  <c r="S11" i="22"/>
  <c r="H11" i="22"/>
  <c r="G11" i="22"/>
  <c r="K11" i="22"/>
  <c r="J11" i="22"/>
  <c r="N11" i="22"/>
  <c r="M11" i="22"/>
  <c r="E11" i="22"/>
  <c r="D11" i="22"/>
  <c r="Q11" i="22"/>
  <c r="P11" i="22"/>
  <c r="T11" i="21"/>
  <c r="S11" i="21"/>
  <c r="X10" i="21"/>
  <c r="Q11" i="21"/>
  <c r="P11" i="21"/>
  <c r="Y10" i="21"/>
  <c r="H11" i="21"/>
  <c r="G11" i="21"/>
  <c r="K11" i="21"/>
  <c r="J11" i="21"/>
  <c r="M11" i="21"/>
  <c r="N11" i="21"/>
  <c r="E11" i="21"/>
  <c r="D11" i="21"/>
  <c r="E12" i="20"/>
  <c r="D12" i="20"/>
  <c r="N12" i="20"/>
  <c r="M12" i="20"/>
  <c r="X11" i="20"/>
  <c r="G12" i="20"/>
  <c r="H12" i="20"/>
  <c r="Q12" i="20"/>
  <c r="P12" i="20"/>
  <c r="Y11" i="20"/>
  <c r="K12" i="20"/>
  <c r="J12" i="20"/>
  <c r="S12" i="20"/>
  <c r="T12" i="20"/>
  <c r="M12" i="18"/>
  <c r="N12" i="18"/>
  <c r="X11" i="18"/>
  <c r="K12" i="18"/>
  <c r="J12" i="18"/>
  <c r="G12" i="18"/>
  <c r="H12" i="18"/>
  <c r="P12" i="18"/>
  <c r="Q12" i="18"/>
  <c r="Y11" i="18"/>
  <c r="D12" i="18"/>
  <c r="E12" i="18"/>
  <c r="S12" i="18"/>
  <c r="T12" i="18"/>
  <c r="O8" i="9"/>
  <c r="P8" i="9" s="1"/>
  <c r="I7" i="8" a="1"/>
  <c r="I7" i="8" s="1"/>
  <c r="R7" i="8"/>
  <c r="O7" i="8"/>
  <c r="P7" i="8" s="1"/>
  <c r="F8" i="9"/>
  <c r="I8" i="9"/>
  <c r="L8" i="9"/>
  <c r="W6" i="9"/>
  <c r="L7" i="8"/>
  <c r="T7" i="9"/>
  <c r="S7" i="9"/>
  <c r="U7" i="9"/>
  <c r="X6" i="9"/>
  <c r="H7" i="9"/>
  <c r="G7" i="9"/>
  <c r="Q7" i="9"/>
  <c r="K7" i="9"/>
  <c r="J7" i="9"/>
  <c r="M7" i="9"/>
  <c r="R8" i="9"/>
  <c r="N7" i="9"/>
  <c r="C8" i="9"/>
  <c r="B8" i="9"/>
  <c r="E7" i="9"/>
  <c r="D7" i="9"/>
  <c r="F7" i="8" a="1"/>
  <c r="F7" i="8" s="1"/>
  <c r="J6" i="8"/>
  <c r="K6" i="8"/>
  <c r="D6" i="8"/>
  <c r="E6" i="8"/>
  <c r="C7" i="8"/>
  <c r="B7" i="8"/>
  <c r="W5" i="8"/>
  <c r="G6" i="8"/>
  <c r="H6" i="8"/>
  <c r="X5" i="8"/>
  <c r="N6" i="8"/>
  <c r="M6" i="8"/>
  <c r="Q6" i="8"/>
  <c r="S6" i="8"/>
  <c r="T6" i="8"/>
  <c r="U6" i="8"/>
  <c r="I13" i="22" l="1"/>
  <c r="L14" i="22" s="1"/>
  <c r="R15" i="22" s="1"/>
  <c r="O13" i="21"/>
  <c r="I13" i="21"/>
  <c r="L14" i="21" s="1"/>
  <c r="R15" i="21" s="1"/>
  <c r="F13" i="21"/>
  <c r="O14" i="20"/>
  <c r="O14" i="18"/>
  <c r="I14" i="20"/>
  <c r="L15" i="20" s="1"/>
  <c r="R16" i="20" s="1"/>
  <c r="F14" i="20"/>
  <c r="I14" i="18"/>
  <c r="L15" i="18" s="1"/>
  <c r="R16" i="18" s="1"/>
  <c r="F14" i="18"/>
  <c r="V12" i="22"/>
  <c r="V12" i="21"/>
  <c r="B12" i="22"/>
  <c r="U13" i="22" s="1"/>
  <c r="B12" i="21"/>
  <c r="U13" i="21" s="1"/>
  <c r="V13" i="20"/>
  <c r="V13" i="18"/>
  <c r="B13" i="20"/>
  <c r="U14" i="20" s="1"/>
  <c r="B13" i="18"/>
  <c r="U14" i="18" s="1"/>
  <c r="Y11" i="22"/>
  <c r="S12" i="22"/>
  <c r="T12" i="22"/>
  <c r="K12" i="22"/>
  <c r="J12" i="22"/>
  <c r="N12" i="22"/>
  <c r="M12" i="22"/>
  <c r="Q12" i="22"/>
  <c r="P12" i="22"/>
  <c r="E12" i="22"/>
  <c r="D12" i="22"/>
  <c r="X11" i="22"/>
  <c r="G12" i="22"/>
  <c r="H12" i="22"/>
  <c r="X11" i="21"/>
  <c r="Y11" i="21"/>
  <c r="Q12" i="21"/>
  <c r="P12" i="21"/>
  <c r="H12" i="21"/>
  <c r="G12" i="21"/>
  <c r="K12" i="21"/>
  <c r="J12" i="21"/>
  <c r="M12" i="21"/>
  <c r="N12" i="21"/>
  <c r="E12" i="21"/>
  <c r="D12" i="21"/>
  <c r="T12" i="21"/>
  <c r="S12" i="21"/>
  <c r="T13" i="20"/>
  <c r="S13" i="20"/>
  <c r="N13" i="20"/>
  <c r="M13" i="20"/>
  <c r="E13" i="20"/>
  <c r="D13" i="20"/>
  <c r="X12" i="20"/>
  <c r="H13" i="20"/>
  <c r="G13" i="20"/>
  <c r="Y12" i="20"/>
  <c r="Q13" i="20"/>
  <c r="P13" i="20"/>
  <c r="K13" i="20"/>
  <c r="J13" i="20"/>
  <c r="P13" i="18"/>
  <c r="Q13" i="18"/>
  <c r="N13" i="18"/>
  <c r="M13" i="18"/>
  <c r="E13" i="18"/>
  <c r="D13" i="18"/>
  <c r="H13" i="18"/>
  <c r="G13" i="18"/>
  <c r="Y12" i="18"/>
  <c r="X12" i="18"/>
  <c r="K13" i="18"/>
  <c r="J13" i="18"/>
  <c r="T13" i="18"/>
  <c r="S13" i="18"/>
  <c r="O8" i="8"/>
  <c r="P8" i="8" s="1"/>
  <c r="R8" i="8"/>
  <c r="F9" i="9"/>
  <c r="L8" i="8"/>
  <c r="L9" i="9"/>
  <c r="O9" i="9"/>
  <c r="P9" i="9" s="1"/>
  <c r="I9" i="9"/>
  <c r="X7" i="9"/>
  <c r="K8" i="9"/>
  <c r="J8" i="9"/>
  <c r="C9" i="9"/>
  <c r="B9" i="9"/>
  <c r="E8" i="9"/>
  <c r="D8" i="9"/>
  <c r="H8" i="9"/>
  <c r="G8" i="9"/>
  <c r="T8" i="9"/>
  <c r="U8" i="9"/>
  <c r="S8" i="9"/>
  <c r="M8" i="9"/>
  <c r="R9" i="9"/>
  <c r="N8" i="9"/>
  <c r="Q8" i="9"/>
  <c r="W7" i="9"/>
  <c r="I8" i="8" a="1"/>
  <c r="I8" i="8" s="1"/>
  <c r="F8" i="8" a="1"/>
  <c r="F8" i="8" s="1"/>
  <c r="X6" i="8"/>
  <c r="W6" i="8"/>
  <c r="K7" i="8"/>
  <c r="J7" i="8"/>
  <c r="N7" i="8"/>
  <c r="M7" i="8"/>
  <c r="E7" i="8"/>
  <c r="D7" i="8"/>
  <c r="B8" i="8"/>
  <c r="C8" i="8"/>
  <c r="H7" i="8"/>
  <c r="G7" i="8"/>
  <c r="U7" i="8"/>
  <c r="T7" i="8"/>
  <c r="S7" i="8"/>
  <c r="Q7" i="8"/>
  <c r="O14" i="22" l="1"/>
  <c r="I14" i="22"/>
  <c r="L15" i="22" s="1"/>
  <c r="R16" i="22" s="1"/>
  <c r="F14" i="22"/>
  <c r="O14" i="21"/>
  <c r="I14" i="21"/>
  <c r="L15" i="21" s="1"/>
  <c r="R16" i="21" s="1"/>
  <c r="O15" i="20"/>
  <c r="F14" i="21"/>
  <c r="I15" i="20"/>
  <c r="L16" i="20" s="1"/>
  <c r="R17" i="20" s="1"/>
  <c r="F15" i="20"/>
  <c r="O15" i="18"/>
  <c r="I15" i="18"/>
  <c r="L16" i="18" s="1"/>
  <c r="R17" i="18" s="1"/>
  <c r="F15" i="18"/>
  <c r="V13" i="22"/>
  <c r="B13" i="21"/>
  <c r="U14" i="21" s="1"/>
  <c r="V13" i="21"/>
  <c r="B13" i="22"/>
  <c r="U14" i="22" s="1"/>
  <c r="V14" i="20"/>
  <c r="B14" i="20"/>
  <c r="U15" i="20" s="1"/>
  <c r="V14" i="18"/>
  <c r="B14" i="18"/>
  <c r="U15" i="18" s="1"/>
  <c r="Y12" i="22"/>
  <c r="K13" i="22"/>
  <c r="J13" i="22"/>
  <c r="Q13" i="22"/>
  <c r="P13" i="22"/>
  <c r="T13" i="22"/>
  <c r="S13" i="22"/>
  <c r="N13" i="22"/>
  <c r="M13" i="22"/>
  <c r="E13" i="22"/>
  <c r="D13" i="22"/>
  <c r="X12" i="22"/>
  <c r="H13" i="22"/>
  <c r="G13" i="22"/>
  <c r="X12" i="21"/>
  <c r="P13" i="21"/>
  <c r="Q13" i="21"/>
  <c r="Y12" i="21"/>
  <c r="H13" i="21"/>
  <c r="G13" i="21"/>
  <c r="K13" i="21"/>
  <c r="J13" i="21"/>
  <c r="T13" i="21"/>
  <c r="S13" i="21"/>
  <c r="M13" i="21"/>
  <c r="N13" i="21"/>
  <c r="E13" i="21"/>
  <c r="D13" i="21"/>
  <c r="Y13" i="20"/>
  <c r="E14" i="20"/>
  <c r="D14" i="20"/>
  <c r="X13" i="20"/>
  <c r="H14" i="20"/>
  <c r="G14" i="20"/>
  <c r="K14" i="20"/>
  <c r="J14" i="20"/>
  <c r="Q14" i="20"/>
  <c r="P14" i="20"/>
  <c r="T14" i="20"/>
  <c r="S14" i="20"/>
  <c r="N14" i="20"/>
  <c r="M14" i="20"/>
  <c r="X13" i="18"/>
  <c r="E14" i="18"/>
  <c r="D14" i="18"/>
  <c r="Y13" i="18"/>
  <c r="H14" i="18"/>
  <c r="G14" i="18"/>
  <c r="N14" i="18"/>
  <c r="M14" i="18"/>
  <c r="K14" i="18"/>
  <c r="J14" i="18"/>
  <c r="T14" i="18"/>
  <c r="S14" i="18"/>
  <c r="Q14" i="18"/>
  <c r="P14" i="18"/>
  <c r="L9" i="8"/>
  <c r="R9" i="8"/>
  <c r="F10" i="9"/>
  <c r="O9" i="8"/>
  <c r="P9" i="8" s="1"/>
  <c r="I10" i="9"/>
  <c r="L10" i="9"/>
  <c r="O10" i="9"/>
  <c r="W8" i="9"/>
  <c r="X8" i="9"/>
  <c r="H9" i="9"/>
  <c r="G9" i="9"/>
  <c r="K9" i="9"/>
  <c r="J9" i="9"/>
  <c r="M9" i="9"/>
  <c r="R10" i="9"/>
  <c r="N9" i="9"/>
  <c r="C10" i="9"/>
  <c r="B10" i="9"/>
  <c r="E9" i="9"/>
  <c r="D9" i="9"/>
  <c r="T9" i="9"/>
  <c r="S9" i="9"/>
  <c r="U9" i="9"/>
  <c r="Q9" i="9"/>
  <c r="I9" i="8" a="1"/>
  <c r="I9" i="8" s="1"/>
  <c r="F9" i="8" a="1"/>
  <c r="F9" i="8" s="1"/>
  <c r="T8" i="8"/>
  <c r="U8" i="8"/>
  <c r="S8" i="8"/>
  <c r="X7" i="8"/>
  <c r="Q8" i="8"/>
  <c r="H8" i="8"/>
  <c r="G8" i="8"/>
  <c r="N8" i="8"/>
  <c r="M8" i="8"/>
  <c r="K8" i="8"/>
  <c r="J8" i="8"/>
  <c r="E8" i="8"/>
  <c r="D8" i="8"/>
  <c r="B9" i="8"/>
  <c r="C9" i="8"/>
  <c r="W7" i="8"/>
  <c r="O15" i="22" l="1"/>
  <c r="F15" i="22"/>
  <c r="I15" i="22"/>
  <c r="L16" i="22" s="1"/>
  <c r="R17" i="22" s="1"/>
  <c r="O15" i="21"/>
  <c r="O16" i="20"/>
  <c r="I15" i="21"/>
  <c r="L16" i="21" s="1"/>
  <c r="R17" i="21" s="1"/>
  <c r="F15" i="21"/>
  <c r="I16" i="20"/>
  <c r="L17" i="20" s="1"/>
  <c r="R18" i="20" s="1"/>
  <c r="F16" i="20"/>
  <c r="O16" i="18"/>
  <c r="I16" i="18"/>
  <c r="L17" i="18" s="1"/>
  <c r="R18" i="18" s="1"/>
  <c r="F16" i="18"/>
  <c r="V14" i="22"/>
  <c r="B14" i="22"/>
  <c r="U15" i="22" s="1"/>
  <c r="V14" i="21"/>
  <c r="B14" i="21"/>
  <c r="U15" i="21" s="1"/>
  <c r="V15" i="20"/>
  <c r="B15" i="20"/>
  <c r="U16" i="20" s="1"/>
  <c r="B15" i="18"/>
  <c r="U16" i="18" s="1"/>
  <c r="V15" i="18"/>
  <c r="Y13" i="22"/>
  <c r="K14" i="22"/>
  <c r="J14" i="22"/>
  <c r="Q14" i="22"/>
  <c r="P14" i="22"/>
  <c r="T14" i="22"/>
  <c r="S14" i="22"/>
  <c r="N14" i="22"/>
  <c r="M14" i="22"/>
  <c r="E14" i="22"/>
  <c r="D14" i="22"/>
  <c r="X13" i="22"/>
  <c r="H14" i="22"/>
  <c r="G14" i="22"/>
  <c r="Y13" i="21"/>
  <c r="X13" i="21"/>
  <c r="H14" i="21"/>
  <c r="G14" i="21"/>
  <c r="K14" i="21"/>
  <c r="J14" i="21"/>
  <c r="Q14" i="21"/>
  <c r="P14" i="21"/>
  <c r="M14" i="21"/>
  <c r="N14" i="21"/>
  <c r="E14" i="21"/>
  <c r="D14" i="21"/>
  <c r="T14" i="21"/>
  <c r="S14" i="21"/>
  <c r="T15" i="20"/>
  <c r="S15" i="20"/>
  <c r="E15" i="20"/>
  <c r="D15" i="20"/>
  <c r="X14" i="20"/>
  <c r="H15" i="20"/>
  <c r="G15" i="20"/>
  <c r="Q15" i="20"/>
  <c r="P15" i="20"/>
  <c r="Y14" i="20"/>
  <c r="K15" i="20"/>
  <c r="J15" i="20"/>
  <c r="M15" i="20"/>
  <c r="N15" i="20"/>
  <c r="P15" i="18"/>
  <c r="Q15" i="18"/>
  <c r="E15" i="18"/>
  <c r="D15" i="18"/>
  <c r="X14" i="18"/>
  <c r="K15" i="18"/>
  <c r="J15" i="18"/>
  <c r="G15" i="18"/>
  <c r="H15" i="18"/>
  <c r="S15" i="18"/>
  <c r="T15" i="18"/>
  <c r="Y14" i="18"/>
  <c r="M15" i="18"/>
  <c r="N15" i="18"/>
  <c r="L10" i="8"/>
  <c r="R10" i="8"/>
  <c r="I11" i="9"/>
  <c r="O11" i="9"/>
  <c r="P11" i="9" s="1"/>
  <c r="P10" i="9"/>
  <c r="L11" i="9"/>
  <c r="F11" i="9"/>
  <c r="T10" i="9"/>
  <c r="U10" i="9"/>
  <c r="S10" i="9"/>
  <c r="W9" i="9"/>
  <c r="Q10" i="9"/>
  <c r="C11" i="9"/>
  <c r="B11" i="9"/>
  <c r="E10" i="9"/>
  <c r="D10" i="9"/>
  <c r="H10" i="9"/>
  <c r="G10" i="9"/>
  <c r="X9" i="9"/>
  <c r="K10" i="9"/>
  <c r="J10" i="9"/>
  <c r="M10" i="9"/>
  <c r="R11" i="9"/>
  <c r="N10" i="9"/>
  <c r="O10" i="8"/>
  <c r="P10" i="8" s="1"/>
  <c r="I10" i="8" a="1"/>
  <c r="I10" i="8" s="1"/>
  <c r="F10" i="8" a="1"/>
  <c r="F10" i="8" s="1"/>
  <c r="C10" i="8"/>
  <c r="B10" i="8"/>
  <c r="E9" i="8"/>
  <c r="D9" i="8"/>
  <c r="W8" i="8"/>
  <c r="U9" i="8"/>
  <c r="T9" i="8"/>
  <c r="S9" i="8"/>
  <c r="Q9" i="8"/>
  <c r="X8" i="8"/>
  <c r="M9" i="8"/>
  <c r="N9" i="8"/>
  <c r="H9" i="8"/>
  <c r="G9" i="8"/>
  <c r="K9" i="8"/>
  <c r="J9" i="8"/>
  <c r="O16" i="22" l="1"/>
  <c r="I16" i="22"/>
  <c r="L17" i="22" s="1"/>
  <c r="R18" i="22" s="1"/>
  <c r="F16" i="22"/>
  <c r="O16" i="21"/>
  <c r="I16" i="21"/>
  <c r="L17" i="21" s="1"/>
  <c r="R18" i="21" s="1"/>
  <c r="F16" i="21"/>
  <c r="O17" i="20"/>
  <c r="I17" i="20"/>
  <c r="L18" i="20" s="1"/>
  <c r="R19" i="20" s="1"/>
  <c r="F17" i="20"/>
  <c r="O17" i="18"/>
  <c r="I17" i="18"/>
  <c r="L18" i="18" s="1"/>
  <c r="R19" i="18" s="1"/>
  <c r="F17" i="18"/>
  <c r="V15" i="22"/>
  <c r="B15" i="22"/>
  <c r="U16" i="22" s="1"/>
  <c r="V15" i="21"/>
  <c r="B15" i="21"/>
  <c r="U16" i="21" s="1"/>
  <c r="V16" i="20"/>
  <c r="B16" i="20"/>
  <c r="U17" i="20" s="1"/>
  <c r="V16" i="18"/>
  <c r="B16" i="18"/>
  <c r="U17" i="18" s="1"/>
  <c r="K15" i="22"/>
  <c r="J15" i="22"/>
  <c r="M15" i="22"/>
  <c r="N15" i="22"/>
  <c r="Q15" i="22"/>
  <c r="P15" i="22"/>
  <c r="T15" i="22"/>
  <c r="S15" i="22"/>
  <c r="E15" i="22"/>
  <c r="D15" i="22"/>
  <c r="X14" i="22"/>
  <c r="H15" i="22"/>
  <c r="G15" i="22"/>
  <c r="Y14" i="22"/>
  <c r="E15" i="21"/>
  <c r="D15" i="21"/>
  <c r="T15" i="21"/>
  <c r="S15" i="21"/>
  <c r="X14" i="21"/>
  <c r="Y14" i="21"/>
  <c r="H15" i="21"/>
  <c r="G15" i="21"/>
  <c r="Q15" i="21"/>
  <c r="P15" i="21"/>
  <c r="K15" i="21"/>
  <c r="J15" i="21"/>
  <c r="M15" i="21"/>
  <c r="N15" i="21"/>
  <c r="X15" i="20"/>
  <c r="K16" i="20"/>
  <c r="J16" i="20"/>
  <c r="H16" i="20"/>
  <c r="G16" i="20"/>
  <c r="N16" i="20"/>
  <c r="M16" i="20"/>
  <c r="T16" i="20"/>
  <c r="S16" i="20"/>
  <c r="E16" i="20"/>
  <c r="D16" i="20"/>
  <c r="Q16" i="20"/>
  <c r="P16" i="20"/>
  <c r="Y15" i="20"/>
  <c r="X15" i="18"/>
  <c r="Y15" i="18"/>
  <c r="H16" i="18"/>
  <c r="G16" i="18"/>
  <c r="S16" i="18"/>
  <c r="T16" i="18"/>
  <c r="K16" i="18"/>
  <c r="J16" i="18"/>
  <c r="N16" i="18"/>
  <c r="M16" i="18"/>
  <c r="E16" i="18"/>
  <c r="D16" i="18"/>
  <c r="P16" i="18"/>
  <c r="Q16" i="18"/>
  <c r="R11" i="8"/>
  <c r="O12" i="9"/>
  <c r="P12" i="9" s="1"/>
  <c r="L12" i="9"/>
  <c r="I12" i="9"/>
  <c r="F12" i="9"/>
  <c r="K11" i="9"/>
  <c r="J11" i="9"/>
  <c r="C12" i="9"/>
  <c r="B12" i="9"/>
  <c r="E11" i="9"/>
  <c r="D11" i="9"/>
  <c r="Q11" i="9"/>
  <c r="H11" i="9"/>
  <c r="G11" i="9"/>
  <c r="T11" i="9"/>
  <c r="U11" i="9"/>
  <c r="S11" i="9"/>
  <c r="W10" i="9"/>
  <c r="M11" i="9"/>
  <c r="R12" i="9"/>
  <c r="N11" i="9"/>
  <c r="L11" i="8"/>
  <c r="X10" i="9"/>
  <c r="I11" i="8" a="1"/>
  <c r="I11" i="8" s="1"/>
  <c r="O11" i="8"/>
  <c r="P11" i="8" s="1"/>
  <c r="F11" i="8" a="1"/>
  <c r="F11" i="8" s="1"/>
  <c r="W9" i="8"/>
  <c r="H10" i="8"/>
  <c r="G10" i="8"/>
  <c r="U10" i="8"/>
  <c r="T10" i="8"/>
  <c r="S10" i="8"/>
  <c r="N10" i="8"/>
  <c r="M10" i="8"/>
  <c r="X9" i="8"/>
  <c r="Q10" i="8"/>
  <c r="K10" i="8"/>
  <c r="J10" i="8"/>
  <c r="C11" i="8"/>
  <c r="B11" i="8"/>
  <c r="E10" i="8"/>
  <c r="D10" i="8"/>
  <c r="O17" i="22" l="1"/>
  <c r="F17" i="22"/>
  <c r="I17" i="22"/>
  <c r="L18" i="22" s="1"/>
  <c r="R19" i="22" s="1"/>
  <c r="O17" i="21"/>
  <c r="I17" i="21"/>
  <c r="L18" i="21" s="1"/>
  <c r="R19" i="21" s="1"/>
  <c r="F17" i="21"/>
  <c r="O18" i="21" s="1"/>
  <c r="O18" i="20"/>
  <c r="O18" i="18"/>
  <c r="I18" i="20"/>
  <c r="L19" i="20" s="1"/>
  <c r="R20" i="20" s="1"/>
  <c r="F18" i="20"/>
  <c r="I18" i="18"/>
  <c r="L19" i="18" s="1"/>
  <c r="R20" i="18" s="1"/>
  <c r="F18" i="18"/>
  <c r="V16" i="22"/>
  <c r="B16" i="22"/>
  <c r="U17" i="22" s="1"/>
  <c r="V16" i="21"/>
  <c r="B16" i="21"/>
  <c r="U17" i="21" s="1"/>
  <c r="B17" i="20"/>
  <c r="U18" i="20" s="1"/>
  <c r="V17" i="20"/>
  <c r="V17" i="18"/>
  <c r="B17" i="18"/>
  <c r="U18" i="18" s="1"/>
  <c r="F18" i="22"/>
  <c r="E16" i="22"/>
  <c r="D16" i="22"/>
  <c r="Q16" i="22"/>
  <c r="P16" i="22"/>
  <c r="X15" i="22"/>
  <c r="H16" i="22"/>
  <c r="G16" i="22"/>
  <c r="T16" i="22"/>
  <c r="S16" i="22"/>
  <c r="Y15" i="22"/>
  <c r="K16" i="22"/>
  <c r="J16" i="22"/>
  <c r="N16" i="22"/>
  <c r="M16" i="22"/>
  <c r="T16" i="21"/>
  <c r="S16" i="21"/>
  <c r="X15" i="21"/>
  <c r="Y15" i="21"/>
  <c r="H16" i="21"/>
  <c r="G16" i="21"/>
  <c r="K16" i="21"/>
  <c r="J16" i="21"/>
  <c r="Q16" i="21"/>
  <c r="P16" i="21"/>
  <c r="M16" i="21"/>
  <c r="N16" i="21"/>
  <c r="E16" i="21"/>
  <c r="D16" i="21"/>
  <c r="T17" i="20"/>
  <c r="S17" i="20"/>
  <c r="X16" i="20"/>
  <c r="H17" i="20"/>
  <c r="G17" i="20"/>
  <c r="Y16" i="20"/>
  <c r="K17" i="20"/>
  <c r="J17" i="20"/>
  <c r="Q17" i="20"/>
  <c r="P17" i="20"/>
  <c r="N17" i="20"/>
  <c r="M17" i="20"/>
  <c r="E17" i="20"/>
  <c r="D17" i="20"/>
  <c r="E17" i="18"/>
  <c r="D17" i="18"/>
  <c r="X16" i="18"/>
  <c r="Y16" i="18"/>
  <c r="N17" i="18"/>
  <c r="M17" i="18"/>
  <c r="S17" i="18"/>
  <c r="T17" i="18"/>
  <c r="K17" i="18"/>
  <c r="J17" i="18"/>
  <c r="R12" i="8"/>
  <c r="H17" i="18"/>
  <c r="G17" i="18"/>
  <c r="Q17" i="18"/>
  <c r="P17" i="18"/>
  <c r="I13" i="9"/>
  <c r="O13" i="9"/>
  <c r="P13" i="9" s="1"/>
  <c r="L12" i="8"/>
  <c r="F13" i="9"/>
  <c r="L13" i="9"/>
  <c r="X11" i="9"/>
  <c r="H12" i="9"/>
  <c r="G12" i="9"/>
  <c r="K12" i="9"/>
  <c r="J12" i="9"/>
  <c r="S12" i="9"/>
  <c r="U12" i="9"/>
  <c r="T12" i="9"/>
  <c r="W11" i="9"/>
  <c r="M12" i="9"/>
  <c r="R13" i="9"/>
  <c r="N12" i="9"/>
  <c r="C13" i="9"/>
  <c r="B13" i="9"/>
  <c r="E12" i="9"/>
  <c r="D12" i="9"/>
  <c r="O12" i="8"/>
  <c r="P12" i="8" s="1"/>
  <c r="Q12" i="9"/>
  <c r="I12" i="8" a="1"/>
  <c r="I12" i="8" s="1"/>
  <c r="F12" i="8" a="1"/>
  <c r="F12" i="8" s="1"/>
  <c r="H11" i="8"/>
  <c r="G11" i="8"/>
  <c r="U11" i="8"/>
  <c r="T11" i="8"/>
  <c r="S11" i="8"/>
  <c r="W10" i="8"/>
  <c r="X10" i="8"/>
  <c r="E11" i="8"/>
  <c r="D11" i="8"/>
  <c r="C12" i="8"/>
  <c r="B12" i="8"/>
  <c r="K11" i="8"/>
  <c r="J11" i="8"/>
  <c r="N11" i="8"/>
  <c r="M11" i="8"/>
  <c r="Q11" i="8"/>
  <c r="O18" i="22" l="1"/>
  <c r="I18" i="22"/>
  <c r="L19" i="22" s="1"/>
  <c r="R20" i="22" s="1"/>
  <c r="O19" i="20"/>
  <c r="I18" i="21"/>
  <c r="F18" i="21"/>
  <c r="I19" i="20"/>
  <c r="L20" i="20" s="1"/>
  <c r="R21" i="20" s="1"/>
  <c r="F19" i="20"/>
  <c r="O19" i="18"/>
  <c r="I19" i="18"/>
  <c r="L20" i="18" s="1"/>
  <c r="R21" i="18" s="1"/>
  <c r="F19" i="18"/>
  <c r="V17" i="22"/>
  <c r="B17" i="22"/>
  <c r="U18" i="22" s="1"/>
  <c r="B17" i="21"/>
  <c r="U18" i="21" s="1"/>
  <c r="V17" i="21"/>
  <c r="V18" i="20"/>
  <c r="B18" i="20"/>
  <c r="U19" i="20" s="1"/>
  <c r="B18" i="18"/>
  <c r="U19" i="18" s="1"/>
  <c r="V18" i="18"/>
  <c r="Q17" i="22"/>
  <c r="P17" i="22"/>
  <c r="T17" i="22"/>
  <c r="S17" i="22"/>
  <c r="X16" i="22"/>
  <c r="H17" i="22"/>
  <c r="G17" i="22"/>
  <c r="Y16" i="22"/>
  <c r="K17" i="22"/>
  <c r="J17" i="22"/>
  <c r="N17" i="22"/>
  <c r="M17" i="22"/>
  <c r="E17" i="22"/>
  <c r="D17" i="22"/>
  <c r="Y16" i="21"/>
  <c r="X16" i="21"/>
  <c r="H17" i="21"/>
  <c r="G17" i="21"/>
  <c r="Q17" i="21"/>
  <c r="P17" i="21"/>
  <c r="K17" i="21"/>
  <c r="J17" i="21"/>
  <c r="M17" i="21"/>
  <c r="N17" i="21"/>
  <c r="E17" i="21"/>
  <c r="D17" i="21"/>
  <c r="T17" i="21"/>
  <c r="S17" i="21"/>
  <c r="Y17" i="20"/>
  <c r="N18" i="20"/>
  <c r="M18" i="20"/>
  <c r="X17" i="20"/>
  <c r="G18" i="20"/>
  <c r="H18" i="20"/>
  <c r="Q18" i="20"/>
  <c r="P18" i="20"/>
  <c r="E18" i="20"/>
  <c r="D18" i="20"/>
  <c r="K18" i="20"/>
  <c r="J18" i="20"/>
  <c r="S18" i="20"/>
  <c r="T18" i="20"/>
  <c r="Q18" i="18"/>
  <c r="P18" i="18"/>
  <c r="M18" i="18"/>
  <c r="N18" i="18"/>
  <c r="E18" i="18"/>
  <c r="D18" i="18"/>
  <c r="J18" i="18"/>
  <c r="K18" i="18"/>
  <c r="S18" i="18"/>
  <c r="T18" i="18"/>
  <c r="X17" i="18"/>
  <c r="R13" i="8"/>
  <c r="G18" i="18"/>
  <c r="H18" i="18"/>
  <c r="Y17" i="18"/>
  <c r="O14" i="9"/>
  <c r="P14" i="9" s="1"/>
  <c r="L14" i="9"/>
  <c r="F14" i="9"/>
  <c r="I14" i="9"/>
  <c r="X12" i="9"/>
  <c r="H13" i="9"/>
  <c r="G13" i="9"/>
  <c r="K13" i="9"/>
  <c r="J13" i="9"/>
  <c r="Q13" i="9"/>
  <c r="W12" i="9"/>
  <c r="C14" i="9"/>
  <c r="B14" i="9"/>
  <c r="E13" i="9"/>
  <c r="D13" i="9"/>
  <c r="O13" i="8"/>
  <c r="P13" i="8" s="1"/>
  <c r="M13" i="9"/>
  <c r="R14" i="9"/>
  <c r="N13" i="9"/>
  <c r="L13" i="8"/>
  <c r="T13" i="9"/>
  <c r="U13" i="9"/>
  <c r="S13" i="9"/>
  <c r="I13" i="8" a="1"/>
  <c r="I13" i="8" s="1"/>
  <c r="F13" i="8" a="1"/>
  <c r="F13" i="8" s="1"/>
  <c r="X11" i="8"/>
  <c r="E12" i="8"/>
  <c r="D12" i="8"/>
  <c r="C13" i="8"/>
  <c r="B13" i="8"/>
  <c r="S12" i="8"/>
  <c r="U12" i="8"/>
  <c r="T12" i="8"/>
  <c r="G12" i="8"/>
  <c r="H12" i="8"/>
  <c r="J12" i="8"/>
  <c r="K12" i="8"/>
  <c r="W11" i="8"/>
  <c r="N12" i="8"/>
  <c r="M12" i="8"/>
  <c r="Q12" i="8"/>
  <c r="O19" i="21" l="1"/>
  <c r="O19" i="22"/>
  <c r="I19" i="22"/>
  <c r="L20" i="22" s="1"/>
  <c r="R21" i="22" s="1"/>
  <c r="F19" i="22"/>
  <c r="L19" i="21"/>
  <c r="R20" i="21" s="1"/>
  <c r="I19" i="21"/>
  <c r="O20" i="20"/>
  <c r="F19" i="21"/>
  <c r="I20" i="20"/>
  <c r="L21" i="20" s="1"/>
  <c r="R22" i="20" s="1"/>
  <c r="F20" i="20"/>
  <c r="O20" i="18"/>
  <c r="I20" i="18"/>
  <c r="L21" i="18" s="1"/>
  <c r="R22" i="18" s="1"/>
  <c r="F20" i="18"/>
  <c r="V18" i="22"/>
  <c r="B18" i="22"/>
  <c r="U19" i="22" s="1"/>
  <c r="B18" i="21"/>
  <c r="U19" i="21" s="1"/>
  <c r="V18" i="21"/>
  <c r="V19" i="20"/>
  <c r="B19" i="20"/>
  <c r="U20" i="20" s="1"/>
  <c r="V19" i="18"/>
  <c r="B19" i="18"/>
  <c r="U20" i="18" s="1"/>
  <c r="K18" i="22"/>
  <c r="J18" i="22"/>
  <c r="E18" i="22"/>
  <c r="D18" i="22"/>
  <c r="Q18" i="22"/>
  <c r="P18" i="22"/>
  <c r="N18" i="22"/>
  <c r="M18" i="22"/>
  <c r="X17" i="22"/>
  <c r="G18" i="22"/>
  <c r="H18" i="22"/>
  <c r="Y17" i="22"/>
  <c r="S18" i="22"/>
  <c r="T18" i="22"/>
  <c r="E18" i="21"/>
  <c r="D18" i="21"/>
  <c r="T18" i="21"/>
  <c r="S18" i="21"/>
  <c r="X17" i="21"/>
  <c r="Y17" i="21"/>
  <c r="H18" i="21"/>
  <c r="G18" i="21"/>
  <c r="Q18" i="21"/>
  <c r="P18" i="21"/>
  <c r="K18" i="21"/>
  <c r="J18" i="21"/>
  <c r="M18" i="21"/>
  <c r="N18" i="21"/>
  <c r="Y18" i="20"/>
  <c r="H19" i="20"/>
  <c r="G19" i="20"/>
  <c r="K19" i="20"/>
  <c r="J19" i="20"/>
  <c r="Q19" i="20"/>
  <c r="P19" i="20"/>
  <c r="N19" i="20"/>
  <c r="M19" i="20"/>
  <c r="E19" i="20"/>
  <c r="D19" i="20"/>
  <c r="X18" i="20"/>
  <c r="T19" i="20"/>
  <c r="S19" i="20"/>
  <c r="X18" i="18"/>
  <c r="N19" i="18"/>
  <c r="M19" i="18"/>
  <c r="H19" i="18"/>
  <c r="G19" i="18"/>
  <c r="Y18" i="18"/>
  <c r="R14" i="8"/>
  <c r="J19" i="18"/>
  <c r="K19" i="18"/>
  <c r="Q19" i="18"/>
  <c r="P19" i="18"/>
  <c r="T19" i="18"/>
  <c r="S19" i="18"/>
  <c r="E19" i="18"/>
  <c r="D19" i="18"/>
  <c r="L15" i="9"/>
  <c r="O15" i="9"/>
  <c r="P15" i="9" s="1"/>
  <c r="F15" i="9"/>
  <c r="I15" i="9"/>
  <c r="T14" i="9"/>
  <c r="U14" i="9"/>
  <c r="S14" i="9"/>
  <c r="W13" i="9"/>
  <c r="Q14" i="9"/>
  <c r="C15" i="9"/>
  <c r="B15" i="9"/>
  <c r="E14" i="9"/>
  <c r="D14" i="9"/>
  <c r="O14" i="8"/>
  <c r="P14" i="8" s="1"/>
  <c r="X13" i="9"/>
  <c r="L14" i="8"/>
  <c r="H14" i="9"/>
  <c r="G14" i="9"/>
  <c r="M14" i="9"/>
  <c r="R15" i="9"/>
  <c r="N14" i="9"/>
  <c r="K14" i="9"/>
  <c r="J14" i="9"/>
  <c r="I14" i="8" a="1"/>
  <c r="I14" i="8" s="1"/>
  <c r="F14" i="8" a="1"/>
  <c r="F14" i="8" s="1"/>
  <c r="W12" i="8"/>
  <c r="Q13" i="8"/>
  <c r="E13" i="8"/>
  <c r="D13" i="8"/>
  <c r="C14" i="8"/>
  <c r="B14" i="8"/>
  <c r="N13" i="8"/>
  <c r="M13" i="8"/>
  <c r="H13" i="8"/>
  <c r="G13" i="8"/>
  <c r="X12" i="8"/>
  <c r="U13" i="8"/>
  <c r="T13" i="8"/>
  <c r="S13" i="8"/>
  <c r="K13" i="8"/>
  <c r="J13" i="8"/>
  <c r="O20" i="22" l="1"/>
  <c r="I20" i="22"/>
  <c r="L21" i="22" s="1"/>
  <c r="R22" i="22" s="1"/>
  <c r="F20" i="22"/>
  <c r="O20" i="21"/>
  <c r="L20" i="21"/>
  <c r="R21" i="21" s="1"/>
  <c r="I20" i="21"/>
  <c r="F20" i="21"/>
  <c r="O21" i="20"/>
  <c r="O21" i="18"/>
  <c r="I21" i="20"/>
  <c r="L22" i="20" s="1"/>
  <c r="R23" i="20" s="1"/>
  <c r="F21" i="20"/>
  <c r="I21" i="18"/>
  <c r="L22" i="18" s="1"/>
  <c r="R23" i="18" s="1"/>
  <c r="F21" i="18"/>
  <c r="V19" i="22"/>
  <c r="B19" i="22"/>
  <c r="U20" i="22" s="1"/>
  <c r="V19" i="21"/>
  <c r="V20" i="20"/>
  <c r="B19" i="21"/>
  <c r="U20" i="21" s="1"/>
  <c r="B20" i="20"/>
  <c r="U21" i="20" s="1"/>
  <c r="B20" i="18"/>
  <c r="U21" i="18" s="1"/>
  <c r="V20" i="18"/>
  <c r="T19" i="22"/>
  <c r="S19" i="22"/>
  <c r="N19" i="22"/>
  <c r="M19" i="22"/>
  <c r="E19" i="22"/>
  <c r="D19" i="22"/>
  <c r="X18" i="22"/>
  <c r="Q19" i="22"/>
  <c r="P19" i="22"/>
  <c r="H19" i="22"/>
  <c r="G19" i="22"/>
  <c r="Y18" i="22"/>
  <c r="K19" i="22"/>
  <c r="J19" i="22"/>
  <c r="T19" i="21"/>
  <c r="S19" i="21"/>
  <c r="X18" i="21"/>
  <c r="Y18" i="21"/>
  <c r="H19" i="21"/>
  <c r="G19" i="21"/>
  <c r="K19" i="21"/>
  <c r="J19" i="21"/>
  <c r="Q19" i="21"/>
  <c r="P19" i="21"/>
  <c r="M19" i="21"/>
  <c r="N19" i="21"/>
  <c r="E19" i="21"/>
  <c r="D19" i="21"/>
  <c r="K20" i="20"/>
  <c r="J20" i="20"/>
  <c r="T20" i="20"/>
  <c r="S20" i="20"/>
  <c r="N20" i="20"/>
  <c r="M20" i="20"/>
  <c r="Y19" i="20"/>
  <c r="Q20" i="20"/>
  <c r="P20" i="20"/>
  <c r="E20" i="20"/>
  <c r="D20" i="20"/>
  <c r="X19" i="20"/>
  <c r="H20" i="20"/>
  <c r="G20" i="20"/>
  <c r="E20" i="18"/>
  <c r="D20" i="18"/>
  <c r="N20" i="18"/>
  <c r="M20" i="18"/>
  <c r="Y19" i="18"/>
  <c r="Q20" i="18"/>
  <c r="P20" i="18"/>
  <c r="H20" i="18"/>
  <c r="G20" i="18"/>
  <c r="K20" i="18"/>
  <c r="J20" i="18"/>
  <c r="T20" i="18"/>
  <c r="S20" i="18"/>
  <c r="X19" i="18"/>
  <c r="R15" i="8"/>
  <c r="I16" i="9"/>
  <c r="F16" i="9"/>
  <c r="O15" i="8"/>
  <c r="P15" i="8" s="1"/>
  <c r="O16" i="9"/>
  <c r="P16" i="9" s="1"/>
  <c r="L16" i="9"/>
  <c r="M15" i="9"/>
  <c r="R16" i="9"/>
  <c r="N15" i="9"/>
  <c r="U15" i="9"/>
  <c r="T15" i="9"/>
  <c r="S15" i="9"/>
  <c r="Q15" i="9"/>
  <c r="H15" i="9"/>
  <c r="G15" i="9"/>
  <c r="C16" i="9"/>
  <c r="B16" i="9"/>
  <c r="E15" i="9"/>
  <c r="D15" i="9"/>
  <c r="K15" i="9"/>
  <c r="J15" i="9"/>
  <c r="L15" i="8"/>
  <c r="W14" i="9"/>
  <c r="X14" i="9"/>
  <c r="I15" i="8" a="1"/>
  <c r="I15" i="8" s="1"/>
  <c r="F15" i="8" a="1"/>
  <c r="F15" i="8" s="1"/>
  <c r="H14" i="8"/>
  <c r="G14" i="8"/>
  <c r="E14" i="8"/>
  <c r="D14" i="8"/>
  <c r="C15" i="8"/>
  <c r="B15" i="8"/>
  <c r="X13" i="8"/>
  <c r="U14" i="8"/>
  <c r="T14" i="8"/>
  <c r="S14" i="8"/>
  <c r="W13" i="8"/>
  <c r="Q14" i="8"/>
  <c r="M14" i="8"/>
  <c r="N14" i="8"/>
  <c r="K14" i="8"/>
  <c r="J14" i="8"/>
  <c r="O21" i="21" l="1"/>
  <c r="O21" i="22"/>
  <c r="I21" i="22"/>
  <c r="L22" i="22" s="1"/>
  <c r="R23" i="22" s="1"/>
  <c r="F21" i="22"/>
  <c r="L21" i="21"/>
  <c r="R22" i="21" s="1"/>
  <c r="I21" i="21"/>
  <c r="F21" i="21"/>
  <c r="O22" i="20"/>
  <c r="I22" i="20"/>
  <c r="L23" i="20" s="1"/>
  <c r="R24" i="20" s="1"/>
  <c r="F22" i="20"/>
  <c r="O22" i="18"/>
  <c r="I22" i="18"/>
  <c r="L23" i="18" s="1"/>
  <c r="R24" i="18" s="1"/>
  <c r="F22" i="18"/>
  <c r="V20" i="22"/>
  <c r="B20" i="22"/>
  <c r="U21" i="22" s="1"/>
  <c r="V20" i="21"/>
  <c r="B20" i="21"/>
  <c r="U21" i="21" s="1"/>
  <c r="V21" i="20"/>
  <c r="B21" i="20"/>
  <c r="U22" i="20" s="1"/>
  <c r="B21" i="18"/>
  <c r="U22" i="18" s="1"/>
  <c r="V21" i="18"/>
  <c r="E20" i="22"/>
  <c r="D20" i="22"/>
  <c r="X19" i="22"/>
  <c r="H20" i="22"/>
  <c r="G20" i="22"/>
  <c r="Y19" i="22"/>
  <c r="Q20" i="22"/>
  <c r="P20" i="22"/>
  <c r="K20" i="22"/>
  <c r="J20" i="22"/>
  <c r="T20" i="22"/>
  <c r="S20" i="22"/>
  <c r="N20" i="22"/>
  <c r="M20" i="22"/>
  <c r="X19" i="21"/>
  <c r="Y19" i="21"/>
  <c r="K20" i="21"/>
  <c r="J20" i="21"/>
  <c r="Q20" i="21"/>
  <c r="P20" i="21"/>
  <c r="H20" i="21"/>
  <c r="G20" i="21"/>
  <c r="M20" i="21"/>
  <c r="N20" i="21"/>
  <c r="E20" i="21"/>
  <c r="D20" i="21"/>
  <c r="T20" i="21"/>
  <c r="S20" i="21"/>
  <c r="Q21" i="20"/>
  <c r="P21" i="20"/>
  <c r="M21" i="20"/>
  <c r="N21" i="20"/>
  <c r="T21" i="20"/>
  <c r="S21" i="20"/>
  <c r="E21" i="20"/>
  <c r="D21" i="20"/>
  <c r="X20" i="20"/>
  <c r="H21" i="20"/>
  <c r="G21" i="20"/>
  <c r="Y20" i="20"/>
  <c r="K21" i="20"/>
  <c r="J21" i="20"/>
  <c r="S21" i="18"/>
  <c r="T21" i="18"/>
  <c r="K21" i="18"/>
  <c r="J21" i="18"/>
  <c r="G21" i="18"/>
  <c r="H21" i="18"/>
  <c r="Q21" i="18"/>
  <c r="P21" i="18"/>
  <c r="E21" i="18"/>
  <c r="D21" i="18"/>
  <c r="X20" i="18"/>
  <c r="R16" i="8"/>
  <c r="Y20" i="18"/>
  <c r="M21" i="18"/>
  <c r="N21" i="18"/>
  <c r="O17" i="9"/>
  <c r="P17" i="9" s="1"/>
  <c r="L17" i="9"/>
  <c r="O16" i="8"/>
  <c r="P16" i="8" s="1"/>
  <c r="F17" i="9"/>
  <c r="I17" i="9"/>
  <c r="W15" i="9"/>
  <c r="X15" i="9"/>
  <c r="Q16" i="9"/>
  <c r="H16" i="9"/>
  <c r="G16" i="9"/>
  <c r="K16" i="9"/>
  <c r="J16" i="9"/>
  <c r="U16" i="9"/>
  <c r="T16" i="9"/>
  <c r="S16" i="9"/>
  <c r="M16" i="9"/>
  <c r="R17" i="9"/>
  <c r="N16" i="9"/>
  <c r="L16" i="8"/>
  <c r="C17" i="9"/>
  <c r="B17" i="9"/>
  <c r="E16" i="9"/>
  <c r="D16" i="9"/>
  <c r="I16" i="8" a="1"/>
  <c r="I16" i="8" s="1"/>
  <c r="F16" i="8" a="1"/>
  <c r="F16" i="8" s="1"/>
  <c r="U15" i="8"/>
  <c r="T15" i="8"/>
  <c r="S15" i="8"/>
  <c r="H15" i="8"/>
  <c r="G15" i="8"/>
  <c r="M15" i="8"/>
  <c r="N15" i="8"/>
  <c r="C16" i="8"/>
  <c r="B16" i="8"/>
  <c r="D15" i="8"/>
  <c r="E15" i="8"/>
  <c r="X14" i="8"/>
  <c r="Q15" i="8"/>
  <c r="W14" i="8"/>
  <c r="J15" i="8"/>
  <c r="K15" i="8"/>
  <c r="O22" i="22" l="1"/>
  <c r="O22" i="21"/>
  <c r="I22" i="22"/>
  <c r="L23" i="22" s="1"/>
  <c r="R24" i="22" s="1"/>
  <c r="F22" i="22"/>
  <c r="O23" i="20"/>
  <c r="L22" i="21"/>
  <c r="R23" i="21" s="1"/>
  <c r="I22" i="21"/>
  <c r="F22" i="21"/>
  <c r="I23" i="20"/>
  <c r="L24" i="20" s="1"/>
  <c r="R25" i="20" s="1"/>
  <c r="F23" i="20"/>
  <c r="O23" i="18"/>
  <c r="I23" i="18"/>
  <c r="L24" i="18" s="1"/>
  <c r="R25" i="18" s="1"/>
  <c r="F23" i="18"/>
  <c r="B21" i="22"/>
  <c r="U22" i="22" s="1"/>
  <c r="V21" i="22"/>
  <c r="V21" i="21"/>
  <c r="B21" i="21"/>
  <c r="U22" i="21" s="1"/>
  <c r="V22" i="20"/>
  <c r="B22" i="20"/>
  <c r="U23" i="20" s="1"/>
  <c r="B22" i="18"/>
  <c r="U23" i="18" s="1"/>
  <c r="V22" i="18"/>
  <c r="Q21" i="22"/>
  <c r="P21" i="22"/>
  <c r="T21" i="22"/>
  <c r="S21" i="22"/>
  <c r="E21" i="22"/>
  <c r="D21" i="22"/>
  <c r="X20" i="22"/>
  <c r="H21" i="22"/>
  <c r="G21" i="22"/>
  <c r="Y20" i="22"/>
  <c r="K21" i="22"/>
  <c r="J21" i="22"/>
  <c r="M21" i="22"/>
  <c r="N21" i="22"/>
  <c r="T21" i="21"/>
  <c r="S21" i="21"/>
  <c r="Q21" i="21"/>
  <c r="P21" i="21"/>
  <c r="X20" i="21"/>
  <c r="Y20" i="21"/>
  <c r="H21" i="21"/>
  <c r="G21" i="21"/>
  <c r="K21" i="21"/>
  <c r="J21" i="21"/>
  <c r="M21" i="21"/>
  <c r="N21" i="21"/>
  <c r="E21" i="21"/>
  <c r="D21" i="21"/>
  <c r="E22" i="20"/>
  <c r="D22" i="20"/>
  <c r="Q22" i="20"/>
  <c r="P22" i="20"/>
  <c r="K22" i="20"/>
  <c r="J22" i="20"/>
  <c r="T22" i="20"/>
  <c r="S22" i="20"/>
  <c r="X21" i="20"/>
  <c r="N22" i="20"/>
  <c r="M22" i="20"/>
  <c r="H22" i="20"/>
  <c r="G22" i="20"/>
  <c r="Y21" i="20"/>
  <c r="R17" i="8"/>
  <c r="E22" i="18"/>
  <c r="D22" i="18"/>
  <c r="Q22" i="18"/>
  <c r="P22" i="18"/>
  <c r="T22" i="18"/>
  <c r="S22" i="18"/>
  <c r="H22" i="18"/>
  <c r="G22" i="18"/>
  <c r="X21" i="18"/>
  <c r="Y21" i="18"/>
  <c r="K22" i="18"/>
  <c r="J22" i="18"/>
  <c r="N22" i="18"/>
  <c r="M22" i="18"/>
  <c r="F18" i="9"/>
  <c r="O17" i="8"/>
  <c r="P17" i="8" s="1"/>
  <c r="L18" i="9"/>
  <c r="O18" i="9"/>
  <c r="P18" i="9" s="1"/>
  <c r="I18" i="9"/>
  <c r="W16" i="9"/>
  <c r="K17" i="9"/>
  <c r="J17" i="9"/>
  <c r="Q17" i="9"/>
  <c r="C18" i="9"/>
  <c r="B18" i="9"/>
  <c r="E17" i="9"/>
  <c r="D17" i="9"/>
  <c r="H17" i="9"/>
  <c r="G17" i="9"/>
  <c r="U17" i="9"/>
  <c r="T17" i="9"/>
  <c r="S17" i="9"/>
  <c r="X16" i="9"/>
  <c r="M17" i="9"/>
  <c r="R18" i="9"/>
  <c r="N17" i="9"/>
  <c r="L17" i="8"/>
  <c r="I17" i="8" a="1"/>
  <c r="I17" i="8" s="1"/>
  <c r="F17" i="8" a="1"/>
  <c r="F17" i="8" s="1"/>
  <c r="N16" i="8"/>
  <c r="M16" i="8"/>
  <c r="Q16" i="8"/>
  <c r="U16" i="8"/>
  <c r="T16" i="8"/>
  <c r="S16" i="8"/>
  <c r="W15" i="8"/>
  <c r="E16" i="8"/>
  <c r="B17" i="8"/>
  <c r="C17" i="8"/>
  <c r="D16" i="8"/>
  <c r="X15" i="8"/>
  <c r="K16" i="8"/>
  <c r="J16" i="8"/>
  <c r="H16" i="8"/>
  <c r="G16" i="8"/>
  <c r="F23" i="22" l="1"/>
  <c r="L23" i="21"/>
  <c r="O23" i="22"/>
  <c r="I23" i="22"/>
  <c r="L24" i="22" s="1"/>
  <c r="R25" i="22" s="1"/>
  <c r="R24" i="21"/>
  <c r="O23" i="21"/>
  <c r="I23" i="21"/>
  <c r="L24" i="21" s="1"/>
  <c r="F23" i="21"/>
  <c r="O24" i="20"/>
  <c r="I24" i="20"/>
  <c r="L25" i="20" s="1"/>
  <c r="R26" i="20" s="1"/>
  <c r="F24" i="20"/>
  <c r="O24" i="18"/>
  <c r="I24" i="18"/>
  <c r="L25" i="18" s="1"/>
  <c r="R26" i="18" s="1"/>
  <c r="F24" i="18"/>
  <c r="V22" i="22"/>
  <c r="B22" i="22"/>
  <c r="U23" i="22" s="1"/>
  <c r="B22" i="21"/>
  <c r="U23" i="21" s="1"/>
  <c r="V22" i="21"/>
  <c r="V23" i="20"/>
  <c r="B23" i="20"/>
  <c r="U24" i="20" s="1"/>
  <c r="B23" i="18"/>
  <c r="U24" i="18" s="1"/>
  <c r="V23" i="18"/>
  <c r="X21" i="22"/>
  <c r="H22" i="22"/>
  <c r="G22" i="22"/>
  <c r="Y21" i="22"/>
  <c r="T22" i="22"/>
  <c r="S22" i="22"/>
  <c r="K22" i="22"/>
  <c r="J22" i="22"/>
  <c r="N22" i="22"/>
  <c r="M22" i="22"/>
  <c r="E22" i="22"/>
  <c r="D22" i="22"/>
  <c r="Q22" i="22"/>
  <c r="P22" i="22"/>
  <c r="Y21" i="21"/>
  <c r="X21" i="21"/>
  <c r="Q22" i="21"/>
  <c r="P22" i="21"/>
  <c r="K22" i="21"/>
  <c r="J22" i="21"/>
  <c r="H22" i="21"/>
  <c r="G22" i="21"/>
  <c r="M22" i="21"/>
  <c r="N22" i="21"/>
  <c r="E22" i="21"/>
  <c r="D22" i="21"/>
  <c r="T22" i="21"/>
  <c r="S22" i="21"/>
  <c r="Q23" i="20"/>
  <c r="P23" i="20"/>
  <c r="X22" i="20"/>
  <c r="H23" i="20"/>
  <c r="G23" i="20"/>
  <c r="Y22" i="20"/>
  <c r="K23" i="20"/>
  <c r="J23" i="20"/>
  <c r="N23" i="20"/>
  <c r="M23" i="20"/>
  <c r="T23" i="20"/>
  <c r="S23" i="20"/>
  <c r="E23" i="20"/>
  <c r="D23" i="20"/>
  <c r="R18" i="8"/>
  <c r="K23" i="18"/>
  <c r="J23" i="18"/>
  <c r="N23" i="18"/>
  <c r="M23" i="18"/>
  <c r="H23" i="18"/>
  <c r="G23" i="18"/>
  <c r="T23" i="18"/>
  <c r="S23" i="18"/>
  <c r="X22" i="18"/>
  <c r="Y22" i="18"/>
  <c r="Q23" i="18"/>
  <c r="P23" i="18"/>
  <c r="E23" i="18"/>
  <c r="D23" i="18"/>
  <c r="I19" i="9"/>
  <c r="F19" i="9"/>
  <c r="L18" i="8"/>
  <c r="L19" i="9"/>
  <c r="O19" i="9"/>
  <c r="X17" i="9"/>
  <c r="K18" i="9"/>
  <c r="J18" i="9"/>
  <c r="M18" i="9"/>
  <c r="R19" i="9"/>
  <c r="N18" i="9"/>
  <c r="W17" i="9"/>
  <c r="C19" i="9"/>
  <c r="B19" i="9"/>
  <c r="E18" i="9"/>
  <c r="D18" i="9"/>
  <c r="U18" i="9"/>
  <c r="T18" i="9"/>
  <c r="S18" i="9"/>
  <c r="H18" i="9"/>
  <c r="G18" i="9"/>
  <c r="Q18" i="9"/>
  <c r="O18" i="8"/>
  <c r="P18" i="8" s="1"/>
  <c r="I18" i="8" a="1"/>
  <c r="I18" i="8" s="1"/>
  <c r="F18" i="8" a="1"/>
  <c r="F18" i="8" s="1"/>
  <c r="X16" i="8"/>
  <c r="E17" i="8"/>
  <c r="D17" i="8"/>
  <c r="C18" i="8"/>
  <c r="B18" i="8"/>
  <c r="T17" i="8"/>
  <c r="S17" i="8"/>
  <c r="U17" i="8"/>
  <c r="Q17" i="8"/>
  <c r="W16" i="8"/>
  <c r="G17" i="8"/>
  <c r="H17" i="8"/>
  <c r="K17" i="8"/>
  <c r="J17" i="8"/>
  <c r="N17" i="8"/>
  <c r="M17" i="8"/>
  <c r="R25" i="21" l="1"/>
  <c r="O24" i="22"/>
  <c r="I24" i="22"/>
  <c r="L25" i="22" s="1"/>
  <c r="R26" i="22" s="1"/>
  <c r="F24" i="22"/>
  <c r="O24" i="21"/>
  <c r="I24" i="21"/>
  <c r="L25" i="21" s="1"/>
  <c r="R26" i="21" s="1"/>
  <c r="F24" i="21"/>
  <c r="O25" i="20"/>
  <c r="I25" i="20"/>
  <c r="L26" i="20" s="1"/>
  <c r="R27" i="20" s="1"/>
  <c r="F25" i="20"/>
  <c r="O25" i="18"/>
  <c r="I25" i="18"/>
  <c r="L26" i="18" s="1"/>
  <c r="R27" i="18" s="1"/>
  <c r="F25" i="18"/>
  <c r="B23" i="22"/>
  <c r="U24" i="22" s="1"/>
  <c r="V23" i="22"/>
  <c r="V23" i="21"/>
  <c r="B23" i="21"/>
  <c r="U24" i="21" s="1"/>
  <c r="B24" i="20"/>
  <c r="U25" i="20" s="1"/>
  <c r="V24" i="20"/>
  <c r="B24" i="18"/>
  <c r="U25" i="18" s="1"/>
  <c r="V24" i="18"/>
  <c r="F25" i="22"/>
  <c r="T23" i="22"/>
  <c r="S23" i="22"/>
  <c r="X22" i="22"/>
  <c r="H23" i="22"/>
  <c r="G23" i="22"/>
  <c r="Y22" i="22"/>
  <c r="K23" i="22"/>
  <c r="J23" i="22"/>
  <c r="N23" i="22"/>
  <c r="M23" i="22"/>
  <c r="E23" i="22"/>
  <c r="D23" i="22"/>
  <c r="Q23" i="22"/>
  <c r="P23" i="22"/>
  <c r="E23" i="21"/>
  <c r="D23" i="21"/>
  <c r="Q23" i="21"/>
  <c r="P23" i="21"/>
  <c r="T23" i="21"/>
  <c r="S23" i="21"/>
  <c r="X22" i="21"/>
  <c r="Y22" i="21"/>
  <c r="H23" i="21"/>
  <c r="G23" i="21"/>
  <c r="K23" i="21"/>
  <c r="J23" i="21"/>
  <c r="M23" i="21"/>
  <c r="N23" i="21"/>
  <c r="K24" i="20"/>
  <c r="J24" i="20"/>
  <c r="S24" i="20"/>
  <c r="T24" i="20"/>
  <c r="R19" i="8"/>
  <c r="N24" i="20"/>
  <c r="M24" i="20"/>
  <c r="E24" i="20"/>
  <c r="D24" i="20"/>
  <c r="X23" i="20"/>
  <c r="Y23" i="20"/>
  <c r="Q24" i="20"/>
  <c r="P24" i="20"/>
  <c r="G24" i="20"/>
  <c r="H24" i="20"/>
  <c r="M24" i="18"/>
  <c r="N24" i="18"/>
  <c r="K24" i="18"/>
  <c r="J24" i="18"/>
  <c r="X23" i="18"/>
  <c r="Q24" i="18"/>
  <c r="P24" i="18"/>
  <c r="G24" i="18"/>
  <c r="H24" i="18"/>
  <c r="E24" i="18"/>
  <c r="D24" i="18"/>
  <c r="Y23" i="18"/>
  <c r="S24" i="18"/>
  <c r="T24" i="18"/>
  <c r="L19" i="8"/>
  <c r="L20" i="9"/>
  <c r="O20" i="9"/>
  <c r="P20" i="9" s="1"/>
  <c r="P19" i="9"/>
  <c r="I20" i="9"/>
  <c r="F20" i="9"/>
  <c r="K19" i="9"/>
  <c r="J19" i="9"/>
  <c r="C20" i="9"/>
  <c r="B20" i="9"/>
  <c r="E19" i="9"/>
  <c r="D19" i="9"/>
  <c r="H19" i="9"/>
  <c r="G19" i="9"/>
  <c r="M19" i="9"/>
  <c r="R20" i="9"/>
  <c r="N19" i="9"/>
  <c r="U19" i="9"/>
  <c r="T19" i="9"/>
  <c r="S19" i="9"/>
  <c r="W18" i="9"/>
  <c r="Q19" i="9"/>
  <c r="O19" i="8"/>
  <c r="P19" i="8" s="1"/>
  <c r="X18" i="9"/>
  <c r="I19" i="8" a="1"/>
  <c r="I19" i="8" s="1"/>
  <c r="F19" i="8" a="1"/>
  <c r="F19" i="8" s="1"/>
  <c r="S18" i="8"/>
  <c r="U18" i="8"/>
  <c r="T18" i="8"/>
  <c r="K18" i="8"/>
  <c r="J18" i="8"/>
  <c r="W17" i="8"/>
  <c r="N18" i="8"/>
  <c r="M18" i="8"/>
  <c r="G18" i="8"/>
  <c r="H18" i="8"/>
  <c r="E18" i="8"/>
  <c r="D18" i="8"/>
  <c r="C19" i="8"/>
  <c r="B19" i="8"/>
  <c r="Q18" i="8"/>
  <c r="X17" i="8"/>
  <c r="O25" i="22" l="1"/>
  <c r="O25" i="21"/>
  <c r="I25" i="22"/>
  <c r="L26" i="22" s="1"/>
  <c r="R27" i="22" s="1"/>
  <c r="I25" i="21"/>
  <c r="L26" i="21" s="1"/>
  <c r="R27" i="21" s="1"/>
  <c r="F25" i="21"/>
  <c r="O26" i="20"/>
  <c r="I26" i="20"/>
  <c r="L27" i="20" s="1"/>
  <c r="R28" i="20" s="1"/>
  <c r="F26" i="20"/>
  <c r="O26" i="18"/>
  <c r="I26" i="18"/>
  <c r="L27" i="18" s="1"/>
  <c r="R28" i="18" s="1"/>
  <c r="F26" i="18"/>
  <c r="V24" i="22"/>
  <c r="B24" i="22"/>
  <c r="U25" i="22" s="1"/>
  <c r="V24" i="21"/>
  <c r="B24" i="21"/>
  <c r="U25" i="21" s="1"/>
  <c r="V25" i="20"/>
  <c r="B25" i="20"/>
  <c r="U26" i="20" s="1"/>
  <c r="V25" i="18"/>
  <c r="B25" i="18"/>
  <c r="U26" i="18" s="1"/>
  <c r="S24" i="22"/>
  <c r="T24" i="22"/>
  <c r="K24" i="22"/>
  <c r="J24" i="22"/>
  <c r="N24" i="22"/>
  <c r="M24" i="22"/>
  <c r="E24" i="22"/>
  <c r="D24" i="22"/>
  <c r="Q24" i="22"/>
  <c r="P24" i="22"/>
  <c r="X23" i="22"/>
  <c r="G24" i="22"/>
  <c r="H24" i="22"/>
  <c r="Y23" i="22"/>
  <c r="X23" i="21"/>
  <c r="Y23" i="21"/>
  <c r="Q24" i="21"/>
  <c r="P24" i="21"/>
  <c r="H24" i="21"/>
  <c r="G24" i="21"/>
  <c r="K24" i="21"/>
  <c r="J24" i="21"/>
  <c r="T24" i="21"/>
  <c r="S24" i="21"/>
  <c r="M24" i="21"/>
  <c r="N24" i="21"/>
  <c r="E24" i="21"/>
  <c r="D24" i="21"/>
  <c r="R20" i="8"/>
  <c r="Y24" i="20"/>
  <c r="H25" i="20"/>
  <c r="G25" i="20"/>
  <c r="K25" i="20"/>
  <c r="J25" i="20"/>
  <c r="Q25" i="20"/>
  <c r="P25" i="20"/>
  <c r="T25" i="20"/>
  <c r="S25" i="20"/>
  <c r="N25" i="20"/>
  <c r="M25" i="20"/>
  <c r="E25" i="20"/>
  <c r="D25" i="20"/>
  <c r="X24" i="20"/>
  <c r="N25" i="18"/>
  <c r="M25" i="18"/>
  <c r="E25" i="18"/>
  <c r="D25" i="18"/>
  <c r="X24" i="18"/>
  <c r="H25" i="18"/>
  <c r="G25" i="18"/>
  <c r="K25" i="18"/>
  <c r="J25" i="18"/>
  <c r="Q25" i="18"/>
  <c r="P25" i="18"/>
  <c r="Y24" i="18"/>
  <c r="T25" i="18"/>
  <c r="S25" i="18"/>
  <c r="F21" i="9"/>
  <c r="O21" i="9"/>
  <c r="P21" i="9" s="1"/>
  <c r="I21" i="9"/>
  <c r="L21" i="9"/>
  <c r="W19" i="9"/>
  <c r="X19" i="9"/>
  <c r="H20" i="9"/>
  <c r="G20" i="9"/>
  <c r="K20" i="9"/>
  <c r="J20" i="9"/>
  <c r="M20" i="9"/>
  <c r="R21" i="9"/>
  <c r="N20" i="9"/>
  <c r="C21" i="9"/>
  <c r="B21" i="9"/>
  <c r="E20" i="9"/>
  <c r="D20" i="9"/>
  <c r="U20" i="9"/>
  <c r="T20" i="9"/>
  <c r="S20" i="9"/>
  <c r="O20" i="8"/>
  <c r="P20" i="8" s="1"/>
  <c r="L20" i="8"/>
  <c r="Q20" i="9"/>
  <c r="I20" i="8" a="1"/>
  <c r="I20" i="8" s="1"/>
  <c r="F20" i="8" a="1"/>
  <c r="F20" i="8" s="1"/>
  <c r="U19" i="8"/>
  <c r="T19" i="8"/>
  <c r="S19" i="8"/>
  <c r="W18" i="8"/>
  <c r="N19" i="8"/>
  <c r="M19" i="8"/>
  <c r="Q19" i="8"/>
  <c r="X18" i="8"/>
  <c r="E19" i="8"/>
  <c r="D19" i="8"/>
  <c r="B20" i="8"/>
  <c r="C20" i="8"/>
  <c r="H19" i="8"/>
  <c r="G19" i="8"/>
  <c r="K19" i="8"/>
  <c r="J19" i="8"/>
  <c r="O26" i="22" l="1"/>
  <c r="I26" i="22"/>
  <c r="L27" i="22" s="1"/>
  <c r="R28" i="22" s="1"/>
  <c r="F26" i="22"/>
  <c r="O26" i="21"/>
  <c r="I26" i="21"/>
  <c r="L27" i="21" s="1"/>
  <c r="R28" i="21" s="1"/>
  <c r="F26" i="21"/>
  <c r="O27" i="20"/>
  <c r="I27" i="20"/>
  <c r="L28" i="20" s="1"/>
  <c r="R29" i="20" s="1"/>
  <c r="F27" i="20"/>
  <c r="O27" i="18"/>
  <c r="I27" i="18"/>
  <c r="L28" i="18" s="1"/>
  <c r="R29" i="18" s="1"/>
  <c r="F27" i="18"/>
  <c r="V25" i="22"/>
  <c r="B25" i="22"/>
  <c r="U26" i="22" s="1"/>
  <c r="B25" i="21"/>
  <c r="U26" i="21" s="1"/>
  <c r="V25" i="21"/>
  <c r="V26" i="20"/>
  <c r="B26" i="20"/>
  <c r="U27" i="20" s="1"/>
  <c r="V26" i="18"/>
  <c r="B26" i="18"/>
  <c r="U27" i="18" s="1"/>
  <c r="F27" i="22"/>
  <c r="X24" i="22"/>
  <c r="Y24" i="22"/>
  <c r="H25" i="22"/>
  <c r="G25" i="22"/>
  <c r="K25" i="22"/>
  <c r="J25" i="22"/>
  <c r="Q25" i="22"/>
  <c r="P25" i="22"/>
  <c r="T25" i="22"/>
  <c r="S25" i="22"/>
  <c r="N25" i="22"/>
  <c r="M25" i="22"/>
  <c r="E25" i="22"/>
  <c r="D25" i="22"/>
  <c r="X24" i="21"/>
  <c r="Y24" i="21"/>
  <c r="H25" i="21"/>
  <c r="G25" i="21"/>
  <c r="K25" i="21"/>
  <c r="J25" i="21"/>
  <c r="Q25" i="21"/>
  <c r="P25" i="21"/>
  <c r="M25" i="21"/>
  <c r="N25" i="21"/>
  <c r="E25" i="21"/>
  <c r="D25" i="21"/>
  <c r="T25" i="21"/>
  <c r="S25" i="21"/>
  <c r="R21" i="8"/>
  <c r="T26" i="20"/>
  <c r="S26" i="20"/>
  <c r="N26" i="20"/>
  <c r="M26" i="20"/>
  <c r="E26" i="20"/>
  <c r="D26" i="20"/>
  <c r="X25" i="20"/>
  <c r="H26" i="20"/>
  <c r="G26" i="20"/>
  <c r="Y25" i="20"/>
  <c r="Q26" i="20"/>
  <c r="P26" i="20"/>
  <c r="K26" i="20"/>
  <c r="J26" i="20"/>
  <c r="X25" i="18"/>
  <c r="E26" i="18"/>
  <c r="D26" i="18"/>
  <c r="Y25" i="18"/>
  <c r="H26" i="18"/>
  <c r="G26" i="18"/>
  <c r="N26" i="18"/>
  <c r="M26" i="18"/>
  <c r="K26" i="18"/>
  <c r="J26" i="18"/>
  <c r="Q26" i="18"/>
  <c r="P26" i="18"/>
  <c r="T26" i="18"/>
  <c r="S26" i="18"/>
  <c r="F22" i="9"/>
  <c r="I22" i="9"/>
  <c r="L22" i="9"/>
  <c r="O22" i="9"/>
  <c r="P22" i="9" s="1"/>
  <c r="U21" i="9"/>
  <c r="T21" i="9"/>
  <c r="S21" i="9"/>
  <c r="M21" i="9"/>
  <c r="R22" i="9"/>
  <c r="N21" i="9"/>
  <c r="C22" i="9"/>
  <c r="B22" i="9"/>
  <c r="E21" i="9"/>
  <c r="D21" i="9"/>
  <c r="W20" i="9"/>
  <c r="Q21" i="9"/>
  <c r="X20" i="9"/>
  <c r="H21" i="9"/>
  <c r="G21" i="9"/>
  <c r="O21" i="8"/>
  <c r="P21" i="8" s="1"/>
  <c r="K21" i="9"/>
  <c r="J21" i="9"/>
  <c r="L21" i="8"/>
  <c r="I21" i="8" a="1"/>
  <c r="I21" i="8" s="1"/>
  <c r="X19" i="8"/>
  <c r="F21" i="8" a="1"/>
  <c r="F21" i="8" s="1"/>
  <c r="K20" i="8"/>
  <c r="J20" i="8"/>
  <c r="N20" i="8"/>
  <c r="M20" i="8"/>
  <c r="U20" i="8"/>
  <c r="T20" i="8"/>
  <c r="S20" i="8"/>
  <c r="E20" i="8"/>
  <c r="C21" i="8"/>
  <c r="D20" i="8"/>
  <c r="B21" i="8"/>
  <c r="Q20" i="8"/>
  <c r="W19" i="8"/>
  <c r="H20" i="8"/>
  <c r="G20" i="8"/>
  <c r="O27" i="22" l="1"/>
  <c r="I27" i="22"/>
  <c r="L28" i="22" s="1"/>
  <c r="R29" i="22" s="1"/>
  <c r="O27" i="21"/>
  <c r="I27" i="21"/>
  <c r="L28" i="21" s="1"/>
  <c r="R29" i="21" s="1"/>
  <c r="F27" i="21"/>
  <c r="O28" i="20"/>
  <c r="O28" i="18"/>
  <c r="I28" i="20"/>
  <c r="L29" i="20" s="1"/>
  <c r="R30" i="20" s="1"/>
  <c r="F28" i="20"/>
  <c r="I28" i="18"/>
  <c r="L29" i="18" s="1"/>
  <c r="R30" i="18" s="1"/>
  <c r="F28" i="18"/>
  <c r="V26" i="22"/>
  <c r="B26" i="22"/>
  <c r="U27" i="22" s="1"/>
  <c r="V26" i="21"/>
  <c r="B26" i="21"/>
  <c r="U27" i="21" s="1"/>
  <c r="V27" i="20"/>
  <c r="B27" i="18"/>
  <c r="U28" i="18" s="1"/>
  <c r="B27" i="20"/>
  <c r="U28" i="20" s="1"/>
  <c r="V27" i="18"/>
  <c r="F28" i="22"/>
  <c r="T26" i="22"/>
  <c r="S26" i="22"/>
  <c r="N26" i="22"/>
  <c r="M26" i="22"/>
  <c r="E26" i="22"/>
  <c r="D26" i="22"/>
  <c r="X25" i="22"/>
  <c r="H26" i="22"/>
  <c r="G26" i="22"/>
  <c r="Y25" i="22"/>
  <c r="Q26" i="22"/>
  <c r="P26" i="22"/>
  <c r="K26" i="22"/>
  <c r="J26" i="22"/>
  <c r="R22" i="8"/>
  <c r="E26" i="21"/>
  <c r="D26" i="21"/>
  <c r="T26" i="21"/>
  <c r="S26" i="21"/>
  <c r="X25" i="21"/>
  <c r="Y25" i="21"/>
  <c r="H26" i="21"/>
  <c r="G26" i="21"/>
  <c r="Q26" i="21"/>
  <c r="P26" i="21"/>
  <c r="K26" i="21"/>
  <c r="J26" i="21"/>
  <c r="M26" i="21"/>
  <c r="N26" i="21"/>
  <c r="X26" i="20"/>
  <c r="Y26" i="20"/>
  <c r="K27" i="20"/>
  <c r="J27" i="20"/>
  <c r="M27" i="20"/>
  <c r="N27" i="20"/>
  <c r="E27" i="20"/>
  <c r="D27" i="20"/>
  <c r="Q27" i="20"/>
  <c r="P27" i="20"/>
  <c r="T27" i="20"/>
  <c r="S27" i="20"/>
  <c r="H27" i="20"/>
  <c r="G27" i="20"/>
  <c r="Q27" i="18"/>
  <c r="P27" i="18"/>
  <c r="E27" i="18"/>
  <c r="D27" i="18"/>
  <c r="G27" i="18"/>
  <c r="H27" i="18"/>
  <c r="K27" i="18"/>
  <c r="J27" i="18"/>
  <c r="X26" i="18"/>
  <c r="Y26" i="18"/>
  <c r="M27" i="18"/>
  <c r="N27" i="18"/>
  <c r="S27" i="18"/>
  <c r="T27" i="18"/>
  <c r="L23" i="9"/>
  <c r="I23" i="9"/>
  <c r="L22" i="8"/>
  <c r="O23" i="9"/>
  <c r="P23" i="9" s="1"/>
  <c r="F23" i="9"/>
  <c r="H22" i="9"/>
  <c r="G22" i="9"/>
  <c r="Q22" i="9"/>
  <c r="M22" i="9"/>
  <c r="R23" i="9"/>
  <c r="N22" i="9"/>
  <c r="C23" i="9"/>
  <c r="B23" i="9"/>
  <c r="E22" i="9"/>
  <c r="D22" i="9"/>
  <c r="K22" i="9"/>
  <c r="J22" i="9"/>
  <c r="U22" i="9"/>
  <c r="T22" i="9"/>
  <c r="S22" i="9"/>
  <c r="O22" i="8"/>
  <c r="P22" i="8" s="1"/>
  <c r="X21" i="9"/>
  <c r="W21" i="9"/>
  <c r="I22" i="8" a="1"/>
  <c r="I22" i="8" s="1"/>
  <c r="F22" i="8" a="1"/>
  <c r="F22" i="8" s="1"/>
  <c r="X20" i="8"/>
  <c r="C22" i="8"/>
  <c r="B22" i="8"/>
  <c r="D21" i="8"/>
  <c r="E21" i="8"/>
  <c r="M21" i="8"/>
  <c r="N21" i="8"/>
  <c r="K21" i="8"/>
  <c r="J21" i="8"/>
  <c r="U21" i="8"/>
  <c r="T21" i="8"/>
  <c r="S21" i="8"/>
  <c r="Q21" i="8"/>
  <c r="W20" i="8"/>
  <c r="H21" i="8"/>
  <c r="G21" i="8"/>
  <c r="O28" i="22" l="1"/>
  <c r="I28" i="22"/>
  <c r="L29" i="22" s="1"/>
  <c r="R30" i="22" s="1"/>
  <c r="O28" i="21"/>
  <c r="I28" i="21"/>
  <c r="L29" i="21" s="1"/>
  <c r="R30" i="21" s="1"/>
  <c r="F28" i="21"/>
  <c r="O29" i="20"/>
  <c r="O29" i="18"/>
  <c r="I29" i="20"/>
  <c r="L30" i="20" s="1"/>
  <c r="R31" i="20" s="1"/>
  <c r="F29" i="20"/>
  <c r="I29" i="18"/>
  <c r="L30" i="18" s="1"/>
  <c r="R31" i="18" s="1"/>
  <c r="F29" i="18"/>
  <c r="V27" i="22"/>
  <c r="B27" i="22"/>
  <c r="U28" i="22" s="1"/>
  <c r="V27" i="21"/>
  <c r="B27" i="21"/>
  <c r="U28" i="21" s="1"/>
  <c r="V28" i="20"/>
  <c r="V28" i="18"/>
  <c r="B28" i="20"/>
  <c r="U29" i="20" s="1"/>
  <c r="B28" i="18"/>
  <c r="U29" i="18" s="1"/>
  <c r="Y26" i="22"/>
  <c r="E27" i="22"/>
  <c r="D27" i="22"/>
  <c r="X26" i="22"/>
  <c r="H27" i="22"/>
  <c r="G27" i="22"/>
  <c r="K27" i="22"/>
  <c r="J27" i="22"/>
  <c r="M27" i="22"/>
  <c r="N27" i="22"/>
  <c r="Q27" i="22"/>
  <c r="P27" i="22"/>
  <c r="T27" i="22"/>
  <c r="S27" i="22"/>
  <c r="R23" i="8"/>
  <c r="X26" i="21"/>
  <c r="Y26" i="21"/>
  <c r="H27" i="21"/>
  <c r="G27" i="21"/>
  <c r="T27" i="21"/>
  <c r="S27" i="21"/>
  <c r="K27" i="21"/>
  <c r="J27" i="21"/>
  <c r="Q27" i="21"/>
  <c r="P27" i="21"/>
  <c r="M27" i="21"/>
  <c r="N27" i="21"/>
  <c r="E27" i="21"/>
  <c r="D27" i="21"/>
  <c r="Y27" i="20"/>
  <c r="K28" i="20"/>
  <c r="J28" i="20"/>
  <c r="N28" i="20"/>
  <c r="M28" i="20"/>
  <c r="Q28" i="20"/>
  <c r="P28" i="20"/>
  <c r="E28" i="20"/>
  <c r="D28" i="20"/>
  <c r="T28" i="20"/>
  <c r="S28" i="20"/>
  <c r="X27" i="20"/>
  <c r="H28" i="20"/>
  <c r="G28" i="20"/>
  <c r="Y27" i="18"/>
  <c r="Q28" i="18"/>
  <c r="P28" i="18"/>
  <c r="X27" i="18"/>
  <c r="H28" i="18"/>
  <c r="G28" i="18"/>
  <c r="K28" i="18"/>
  <c r="J28" i="18"/>
  <c r="N28" i="18"/>
  <c r="M28" i="18"/>
  <c r="T28" i="18"/>
  <c r="S28" i="18"/>
  <c r="E28" i="18"/>
  <c r="D28" i="18"/>
  <c r="O24" i="9"/>
  <c r="P24" i="9" s="1"/>
  <c r="F24" i="9"/>
  <c r="L24" i="9"/>
  <c r="I24" i="9"/>
  <c r="U23" i="9"/>
  <c r="T23" i="9"/>
  <c r="S23" i="9"/>
  <c r="W22" i="9"/>
  <c r="C24" i="9"/>
  <c r="B24" i="9"/>
  <c r="E23" i="9"/>
  <c r="D23" i="9"/>
  <c r="X22" i="9"/>
  <c r="Q23" i="9"/>
  <c r="M23" i="9"/>
  <c r="R24" i="9"/>
  <c r="N23" i="9"/>
  <c r="H23" i="9"/>
  <c r="G23" i="9"/>
  <c r="L23" i="8"/>
  <c r="K23" i="9"/>
  <c r="J23" i="9"/>
  <c r="O23" i="8"/>
  <c r="P23" i="8" s="1"/>
  <c r="I23" i="8" a="1"/>
  <c r="I23" i="8" s="1"/>
  <c r="F23" i="8" a="1"/>
  <c r="F23" i="8" s="1"/>
  <c r="X21" i="8"/>
  <c r="W21" i="8"/>
  <c r="K22" i="8"/>
  <c r="J22" i="8"/>
  <c r="U22" i="8"/>
  <c r="T22" i="8"/>
  <c r="S22" i="8"/>
  <c r="H22" i="8"/>
  <c r="G22" i="8"/>
  <c r="N22" i="8"/>
  <c r="M22" i="8"/>
  <c r="Q22" i="8"/>
  <c r="C23" i="8"/>
  <c r="B23" i="8"/>
  <c r="E22" i="8"/>
  <c r="D22" i="8"/>
  <c r="F29" i="22" l="1"/>
  <c r="O29" i="22"/>
  <c r="I29" i="22"/>
  <c r="L30" i="22" s="1"/>
  <c r="R31" i="22" s="1"/>
  <c r="O29" i="21"/>
  <c r="I29" i="21"/>
  <c r="L30" i="21" s="1"/>
  <c r="R31" i="21" s="1"/>
  <c r="F29" i="21"/>
  <c r="O30" i="20"/>
  <c r="O30" i="18"/>
  <c r="I30" i="20"/>
  <c r="L31" i="20" s="1"/>
  <c r="R32" i="20" s="1"/>
  <c r="F30" i="20"/>
  <c r="I30" i="18"/>
  <c r="L31" i="18" s="1"/>
  <c r="R32" i="18" s="1"/>
  <c r="F30" i="18"/>
  <c r="V28" i="22"/>
  <c r="B28" i="22"/>
  <c r="U29" i="22" s="1"/>
  <c r="V28" i="21"/>
  <c r="B28" i="21"/>
  <c r="U29" i="21" s="1"/>
  <c r="V29" i="20"/>
  <c r="B29" i="20"/>
  <c r="U30" i="20" s="1"/>
  <c r="B29" i="18"/>
  <c r="U30" i="18" s="1"/>
  <c r="V29" i="18"/>
  <c r="Q28" i="22"/>
  <c r="P28" i="22"/>
  <c r="X27" i="22"/>
  <c r="H28" i="22"/>
  <c r="G28" i="22"/>
  <c r="Y27" i="22"/>
  <c r="R24" i="8"/>
  <c r="K28" i="22"/>
  <c r="J28" i="22"/>
  <c r="T28" i="22"/>
  <c r="S28" i="22"/>
  <c r="N28" i="22"/>
  <c r="M28" i="22"/>
  <c r="E28" i="22"/>
  <c r="D28" i="22"/>
  <c r="X27" i="21"/>
  <c r="Y27" i="21"/>
  <c r="H28" i="21"/>
  <c r="G28" i="21"/>
  <c r="K28" i="21"/>
  <c r="J28" i="21"/>
  <c r="M28" i="21"/>
  <c r="N28" i="21"/>
  <c r="Q28" i="21"/>
  <c r="P28" i="21"/>
  <c r="E28" i="21"/>
  <c r="D28" i="21"/>
  <c r="T28" i="21"/>
  <c r="S28" i="21"/>
  <c r="Y28" i="20"/>
  <c r="K29" i="20"/>
  <c r="J29" i="20"/>
  <c r="N29" i="20"/>
  <c r="M29" i="20"/>
  <c r="E29" i="20"/>
  <c r="D29" i="20"/>
  <c r="T29" i="20"/>
  <c r="S29" i="20"/>
  <c r="Q29" i="20"/>
  <c r="P29" i="20"/>
  <c r="X28" i="20"/>
  <c r="H29" i="20"/>
  <c r="G29" i="20"/>
  <c r="Y28" i="18"/>
  <c r="T29" i="18"/>
  <c r="S29" i="18"/>
  <c r="H29" i="18"/>
  <c r="G29" i="18"/>
  <c r="K29" i="18"/>
  <c r="J29" i="18"/>
  <c r="N29" i="18"/>
  <c r="M29" i="18"/>
  <c r="Q29" i="18"/>
  <c r="P29" i="18"/>
  <c r="X28" i="18"/>
  <c r="E29" i="18"/>
  <c r="D29" i="18"/>
  <c r="O25" i="9"/>
  <c r="P25" i="9" s="1"/>
  <c r="I25" i="9"/>
  <c r="F25" i="9"/>
  <c r="L25" i="9"/>
  <c r="X23" i="9"/>
  <c r="H24" i="9"/>
  <c r="G24" i="9"/>
  <c r="K24" i="9"/>
  <c r="J24" i="9"/>
  <c r="Q24" i="9"/>
  <c r="M24" i="9"/>
  <c r="R25" i="9"/>
  <c r="N24" i="9"/>
  <c r="C25" i="9"/>
  <c r="B25" i="9"/>
  <c r="E24" i="9"/>
  <c r="D24" i="9"/>
  <c r="W23" i="9"/>
  <c r="U24" i="9"/>
  <c r="T24" i="9"/>
  <c r="S24" i="9"/>
  <c r="O24" i="8"/>
  <c r="P24" i="8" s="1"/>
  <c r="L24" i="8"/>
  <c r="I24" i="8" a="1"/>
  <c r="I24" i="8" s="1"/>
  <c r="F24" i="8" a="1"/>
  <c r="F24" i="8" s="1"/>
  <c r="K23" i="8"/>
  <c r="J23" i="8"/>
  <c r="G23" i="8"/>
  <c r="H23" i="8"/>
  <c r="N23" i="8"/>
  <c r="M23" i="8"/>
  <c r="X22" i="8"/>
  <c r="W22" i="8"/>
  <c r="Q23" i="8"/>
  <c r="E23" i="8"/>
  <c r="D23" i="8"/>
  <c r="C24" i="8"/>
  <c r="B24" i="8"/>
  <c r="S23" i="8"/>
  <c r="T23" i="8"/>
  <c r="U23" i="8"/>
  <c r="O30" i="22" l="1"/>
  <c r="I30" i="22"/>
  <c r="L31" i="22" s="1"/>
  <c r="R32" i="22" s="1"/>
  <c r="F30" i="22"/>
  <c r="O30" i="21"/>
  <c r="I30" i="21"/>
  <c r="L31" i="21" s="1"/>
  <c r="R32" i="21" s="1"/>
  <c r="F30" i="21"/>
  <c r="O31" i="20"/>
  <c r="I31" i="20"/>
  <c r="L32" i="20" s="1"/>
  <c r="R33" i="20" s="1"/>
  <c r="F31" i="20"/>
  <c r="O31" i="18"/>
  <c r="I31" i="18"/>
  <c r="L32" i="18" s="1"/>
  <c r="R33" i="18" s="1"/>
  <c r="F31" i="18"/>
  <c r="V29" i="22"/>
  <c r="B29" i="21"/>
  <c r="U30" i="21" s="1"/>
  <c r="B29" i="22"/>
  <c r="U30" i="22" s="1"/>
  <c r="V29" i="21"/>
  <c r="V30" i="20"/>
  <c r="B30" i="20"/>
  <c r="U31" i="20" s="1"/>
  <c r="B30" i="18"/>
  <c r="U31" i="18" s="1"/>
  <c r="V30" i="18"/>
  <c r="R25" i="8"/>
  <c r="X28" i="22"/>
  <c r="H29" i="22"/>
  <c r="G29" i="22"/>
  <c r="Y28" i="22"/>
  <c r="K29" i="22"/>
  <c r="J29" i="22"/>
  <c r="N29" i="22"/>
  <c r="M29" i="22"/>
  <c r="E29" i="22"/>
  <c r="D29" i="22"/>
  <c r="T29" i="22"/>
  <c r="S29" i="22"/>
  <c r="Q29" i="22"/>
  <c r="P29" i="22"/>
  <c r="X28" i="21"/>
  <c r="T29" i="21"/>
  <c r="S29" i="21"/>
  <c r="Y28" i="21"/>
  <c r="H29" i="21"/>
  <c r="G29" i="21"/>
  <c r="Q29" i="21"/>
  <c r="P29" i="21"/>
  <c r="K29" i="21"/>
  <c r="J29" i="21"/>
  <c r="M29" i="21"/>
  <c r="N29" i="21"/>
  <c r="E29" i="21"/>
  <c r="D29" i="21"/>
  <c r="K30" i="20"/>
  <c r="J30" i="20"/>
  <c r="N30" i="20"/>
  <c r="M30" i="20"/>
  <c r="E30" i="20"/>
  <c r="D30" i="20"/>
  <c r="X29" i="20"/>
  <c r="Q30" i="20"/>
  <c r="P30" i="20"/>
  <c r="G30" i="20"/>
  <c r="H30" i="20"/>
  <c r="Y29" i="20"/>
  <c r="S30" i="20"/>
  <c r="T30" i="20"/>
  <c r="M30" i="18"/>
  <c r="N30" i="18"/>
  <c r="Q30" i="18"/>
  <c r="P30" i="18"/>
  <c r="G30" i="18"/>
  <c r="H30" i="18"/>
  <c r="E30" i="18"/>
  <c r="D30" i="18"/>
  <c r="X29" i="18"/>
  <c r="S30" i="18"/>
  <c r="T30" i="18"/>
  <c r="K30" i="18"/>
  <c r="J30" i="18"/>
  <c r="Y29" i="18"/>
  <c r="O26" i="9"/>
  <c r="P26" i="9" s="1"/>
  <c r="L26" i="9"/>
  <c r="F26" i="9"/>
  <c r="I26" i="9"/>
  <c r="X24" i="9"/>
  <c r="W24" i="9"/>
  <c r="M25" i="9"/>
  <c r="R26" i="9"/>
  <c r="N25" i="9"/>
  <c r="U25" i="9"/>
  <c r="T25" i="9"/>
  <c r="S25" i="9"/>
  <c r="C26" i="9"/>
  <c r="B26" i="9"/>
  <c r="E25" i="9"/>
  <c r="D25" i="9"/>
  <c r="H25" i="9"/>
  <c r="G25" i="9"/>
  <c r="Q25" i="9"/>
  <c r="O25" i="8"/>
  <c r="P25" i="8" s="1"/>
  <c r="K25" i="9"/>
  <c r="J25" i="9"/>
  <c r="L25" i="8"/>
  <c r="I25" i="8" a="1"/>
  <c r="I25" i="8" s="1"/>
  <c r="F25" i="8" a="1"/>
  <c r="F25" i="8" s="1"/>
  <c r="S24" i="8"/>
  <c r="U24" i="8"/>
  <c r="T24" i="8"/>
  <c r="Q24" i="8"/>
  <c r="E24" i="8"/>
  <c r="D24" i="8"/>
  <c r="C25" i="8"/>
  <c r="B25" i="8"/>
  <c r="G24" i="8"/>
  <c r="H24" i="8"/>
  <c r="N24" i="8"/>
  <c r="M24" i="8"/>
  <c r="J24" i="8"/>
  <c r="K24" i="8"/>
  <c r="W23" i="8"/>
  <c r="X23" i="8"/>
  <c r="O31" i="22" l="1"/>
  <c r="F31" i="22"/>
  <c r="I31" i="22"/>
  <c r="L32" i="22" s="1"/>
  <c r="R33" i="22" s="1"/>
  <c r="O31" i="21"/>
  <c r="I31" i="21"/>
  <c r="L32" i="21" s="1"/>
  <c r="R33" i="21" s="1"/>
  <c r="F31" i="21"/>
  <c r="O32" i="20"/>
  <c r="I32" i="20"/>
  <c r="L33" i="20" s="1"/>
  <c r="F32" i="20"/>
  <c r="O32" i="18"/>
  <c r="I32" i="18"/>
  <c r="L33" i="18" s="1"/>
  <c r="F32" i="18"/>
  <c r="R26" i="8"/>
  <c r="V30" i="22"/>
  <c r="B30" i="22"/>
  <c r="U31" i="22" s="1"/>
  <c r="B30" i="21"/>
  <c r="U31" i="21" s="1"/>
  <c r="V30" i="21"/>
  <c r="V31" i="20"/>
  <c r="B31" i="20"/>
  <c r="U32" i="20" s="1"/>
  <c r="B31" i="18"/>
  <c r="U32" i="18" s="1"/>
  <c r="V31" i="18"/>
  <c r="F32" i="22"/>
  <c r="Y29" i="22"/>
  <c r="X29" i="22"/>
  <c r="G30" i="22"/>
  <c r="H30" i="22"/>
  <c r="S30" i="22"/>
  <c r="T30" i="22"/>
  <c r="K30" i="22"/>
  <c r="J30" i="22"/>
  <c r="N30" i="22"/>
  <c r="M30" i="22"/>
  <c r="E30" i="22"/>
  <c r="D30" i="22"/>
  <c r="Q30" i="22"/>
  <c r="P30" i="22"/>
  <c r="Y29" i="21"/>
  <c r="X29" i="21"/>
  <c r="H30" i="21"/>
  <c r="G30" i="21"/>
  <c r="Q30" i="21"/>
  <c r="P30" i="21"/>
  <c r="K30" i="21"/>
  <c r="J30" i="21"/>
  <c r="M30" i="21"/>
  <c r="N30" i="21"/>
  <c r="E30" i="21"/>
  <c r="D30" i="21"/>
  <c r="T30" i="21"/>
  <c r="S30" i="21"/>
  <c r="N31" i="20"/>
  <c r="M31" i="20"/>
  <c r="E31" i="20"/>
  <c r="D31" i="20"/>
  <c r="X30" i="20"/>
  <c r="H31" i="20"/>
  <c r="G31" i="20"/>
  <c r="Y30" i="20"/>
  <c r="K31" i="20"/>
  <c r="J31" i="20"/>
  <c r="Q31" i="20"/>
  <c r="P31" i="20"/>
  <c r="T31" i="20"/>
  <c r="S31" i="20"/>
  <c r="Y30" i="18"/>
  <c r="X30" i="18"/>
  <c r="K31" i="18"/>
  <c r="J31" i="18"/>
  <c r="H31" i="18"/>
  <c r="G31" i="18"/>
  <c r="Q31" i="18"/>
  <c r="P31" i="18"/>
  <c r="N31" i="18"/>
  <c r="M31" i="18"/>
  <c r="E31" i="18"/>
  <c r="D31" i="18"/>
  <c r="T31" i="18"/>
  <c r="S31" i="18"/>
  <c r="I27" i="9"/>
  <c r="L26" i="8"/>
  <c r="R27" i="8" s="1"/>
  <c r="F27" i="9"/>
  <c r="L27" i="9"/>
  <c r="O27" i="9"/>
  <c r="P27" i="9" s="1"/>
  <c r="M26" i="9"/>
  <c r="R27" i="9"/>
  <c r="N26" i="9"/>
  <c r="C27" i="9"/>
  <c r="B27" i="9"/>
  <c r="E26" i="9"/>
  <c r="D26" i="9"/>
  <c r="Q26" i="9"/>
  <c r="U26" i="9"/>
  <c r="T26" i="9"/>
  <c r="S26" i="9"/>
  <c r="H26" i="9"/>
  <c r="G26" i="9"/>
  <c r="W25" i="9"/>
  <c r="K26" i="9"/>
  <c r="J26" i="9"/>
  <c r="O26" i="8"/>
  <c r="P26" i="8" s="1"/>
  <c r="X25" i="9"/>
  <c r="I26" i="8" a="1"/>
  <c r="I26" i="8" s="1"/>
  <c r="F26" i="8" a="1"/>
  <c r="F26" i="8" s="1"/>
  <c r="X24" i="8"/>
  <c r="K25" i="8"/>
  <c r="J25" i="8"/>
  <c r="N25" i="8"/>
  <c r="M25" i="8"/>
  <c r="E25" i="8"/>
  <c r="D25" i="8"/>
  <c r="B26" i="8"/>
  <c r="C26" i="8"/>
  <c r="W24" i="8"/>
  <c r="Q25" i="8"/>
  <c r="H25" i="8"/>
  <c r="G25" i="8"/>
  <c r="U25" i="8"/>
  <c r="T25" i="8"/>
  <c r="S25" i="8"/>
  <c r="O32" i="22" l="1"/>
  <c r="I32" i="22"/>
  <c r="L33" i="22" s="1"/>
  <c r="O32" i="21"/>
  <c r="O33" i="20"/>
  <c r="I32" i="21"/>
  <c r="L33" i="21" s="1"/>
  <c r="F32" i="21"/>
  <c r="I33" i="20"/>
  <c r="F33" i="20"/>
  <c r="O33" i="18"/>
  <c r="I33" i="18"/>
  <c r="F33" i="18"/>
  <c r="V31" i="22"/>
  <c r="B31" i="22"/>
  <c r="U32" i="22" s="1"/>
  <c r="V31" i="21"/>
  <c r="B31" i="21"/>
  <c r="U32" i="21" s="1"/>
  <c r="V32" i="20"/>
  <c r="B32" i="20"/>
  <c r="U33" i="20" s="1"/>
  <c r="V32" i="18"/>
  <c r="B32" i="18"/>
  <c r="U33" i="18" s="1"/>
  <c r="K31" i="22"/>
  <c r="J31" i="22"/>
  <c r="T31" i="22"/>
  <c r="S31" i="22"/>
  <c r="N31" i="22"/>
  <c r="M31" i="22"/>
  <c r="E31" i="22"/>
  <c r="D31" i="22"/>
  <c r="X30" i="22"/>
  <c r="H31" i="22"/>
  <c r="G31" i="22"/>
  <c r="Q31" i="22"/>
  <c r="P31" i="22"/>
  <c r="Y30" i="22"/>
  <c r="E31" i="21"/>
  <c r="D31" i="21"/>
  <c r="T31" i="21"/>
  <c r="S31" i="21"/>
  <c r="X30" i="21"/>
  <c r="Y30" i="21"/>
  <c r="H31" i="21"/>
  <c r="G31" i="21"/>
  <c r="Q31" i="21"/>
  <c r="P31" i="21"/>
  <c r="K31" i="21"/>
  <c r="J31" i="21"/>
  <c r="M31" i="21"/>
  <c r="N31" i="21"/>
  <c r="N32" i="20"/>
  <c r="M32" i="20"/>
  <c r="E32" i="20"/>
  <c r="D32" i="20"/>
  <c r="X31" i="20"/>
  <c r="H32" i="20"/>
  <c r="G32" i="20"/>
  <c r="Y31" i="20"/>
  <c r="K32" i="20"/>
  <c r="J32" i="20"/>
  <c r="Q32" i="20"/>
  <c r="P32" i="20"/>
  <c r="T32" i="20"/>
  <c r="S32" i="20"/>
  <c r="K32" i="18"/>
  <c r="J32" i="18"/>
  <c r="T32" i="18"/>
  <c r="S32" i="18"/>
  <c r="Q32" i="18"/>
  <c r="P32" i="18"/>
  <c r="X31" i="18"/>
  <c r="E32" i="18"/>
  <c r="D32" i="18"/>
  <c r="N32" i="18"/>
  <c r="M32" i="18"/>
  <c r="Y31" i="18"/>
  <c r="H32" i="18"/>
  <c r="G32" i="18"/>
  <c r="L28" i="9"/>
  <c r="O28" i="9"/>
  <c r="P28" i="9" s="1"/>
  <c r="I28" i="9"/>
  <c r="F28" i="9"/>
  <c r="H27" i="9"/>
  <c r="G27" i="9"/>
  <c r="K27" i="9"/>
  <c r="J27" i="9"/>
  <c r="Q27" i="9"/>
  <c r="W26" i="9"/>
  <c r="M27" i="9"/>
  <c r="R28" i="9"/>
  <c r="N27" i="9"/>
  <c r="C28" i="9"/>
  <c r="B28" i="9"/>
  <c r="E27" i="9"/>
  <c r="D27" i="9"/>
  <c r="U27" i="9"/>
  <c r="T27" i="9"/>
  <c r="S27" i="9"/>
  <c r="X26" i="9"/>
  <c r="O27" i="8"/>
  <c r="P27" i="8" s="1"/>
  <c r="L27" i="8"/>
  <c r="R28" i="8" s="1"/>
  <c r="I27" i="8" a="1"/>
  <c r="I27" i="8" s="1"/>
  <c r="F27" i="8" a="1"/>
  <c r="F27" i="8" s="1"/>
  <c r="E26" i="8"/>
  <c r="D26" i="8"/>
  <c r="C27" i="8"/>
  <c r="B27" i="8"/>
  <c r="H26" i="8"/>
  <c r="G26" i="8"/>
  <c r="Q26" i="8"/>
  <c r="W25" i="8"/>
  <c r="K26" i="8"/>
  <c r="J26" i="8"/>
  <c r="M26" i="8"/>
  <c r="N26" i="8"/>
  <c r="X25" i="8"/>
  <c r="U26" i="8"/>
  <c r="T26" i="8"/>
  <c r="S26" i="8"/>
  <c r="O33" i="22" l="1"/>
  <c r="I33" i="22"/>
  <c r="F33" i="22"/>
  <c r="O33" i="21"/>
  <c r="I33" i="21"/>
  <c r="F33" i="21"/>
  <c r="V32" i="22"/>
  <c r="B32" i="22"/>
  <c r="U33" i="22" s="1"/>
  <c r="V32" i="21"/>
  <c r="B33" i="20"/>
  <c r="B32" i="21"/>
  <c r="U33" i="21" s="1"/>
  <c r="V33" i="20"/>
  <c r="V33" i="18"/>
  <c r="B33" i="18"/>
  <c r="X31" i="22"/>
  <c r="Y31" i="22"/>
  <c r="H32" i="22"/>
  <c r="G32" i="22"/>
  <c r="K32" i="22"/>
  <c r="J32" i="22"/>
  <c r="Q32" i="22"/>
  <c r="P32" i="22"/>
  <c r="T32" i="22"/>
  <c r="S32" i="22"/>
  <c r="N32" i="22"/>
  <c r="M32" i="22"/>
  <c r="E32" i="22"/>
  <c r="D32" i="22"/>
  <c r="T32" i="21"/>
  <c r="S32" i="21"/>
  <c r="X31" i="21"/>
  <c r="Y31" i="21"/>
  <c r="H32" i="21"/>
  <c r="G32" i="21"/>
  <c r="K32" i="21"/>
  <c r="J32" i="21"/>
  <c r="Q32" i="21"/>
  <c r="P32" i="21"/>
  <c r="M32" i="21"/>
  <c r="N32" i="21"/>
  <c r="E32" i="21"/>
  <c r="D32" i="21"/>
  <c r="E33" i="20"/>
  <c r="D33" i="20"/>
  <c r="X32" i="20"/>
  <c r="H33" i="20"/>
  <c r="G33" i="20"/>
  <c r="Y32" i="20"/>
  <c r="K33" i="20"/>
  <c r="J33" i="20"/>
  <c r="M33" i="20"/>
  <c r="N33" i="20"/>
  <c r="Q33" i="20"/>
  <c r="P33" i="20"/>
  <c r="T33" i="20"/>
  <c r="S33" i="20"/>
  <c r="Y32" i="18"/>
  <c r="K33" i="18"/>
  <c r="J33" i="18"/>
  <c r="G33" i="18"/>
  <c r="H33" i="18"/>
  <c r="M33" i="18"/>
  <c r="N33" i="18"/>
  <c r="T33" i="18"/>
  <c r="S33" i="18"/>
  <c r="E33" i="18"/>
  <c r="D33" i="18"/>
  <c r="Q33" i="18"/>
  <c r="P33" i="18"/>
  <c r="X32" i="18"/>
  <c r="F29" i="9"/>
  <c r="O29" i="9"/>
  <c r="P29" i="9" s="1"/>
  <c r="L29" i="9"/>
  <c r="I29" i="9"/>
  <c r="U28" i="9"/>
  <c r="T28" i="9"/>
  <c r="S28" i="9"/>
  <c r="C29" i="9"/>
  <c r="B29" i="9"/>
  <c r="E28" i="9"/>
  <c r="D28" i="9"/>
  <c r="X27" i="9"/>
  <c r="W27" i="9"/>
  <c r="H28" i="9"/>
  <c r="G28" i="9"/>
  <c r="K28" i="9"/>
  <c r="J28" i="9"/>
  <c r="Q28" i="9"/>
  <c r="L28" i="8"/>
  <c r="R29" i="8" s="1"/>
  <c r="M28" i="9"/>
  <c r="R29" i="9"/>
  <c r="N28" i="9"/>
  <c r="O28" i="8"/>
  <c r="P28" i="8" s="1"/>
  <c r="I28" i="8" a="1"/>
  <c r="I28" i="8" s="1"/>
  <c r="F28" i="8" a="1"/>
  <c r="F28" i="8" s="1"/>
  <c r="U27" i="8"/>
  <c r="T27" i="8"/>
  <c r="S27" i="8"/>
  <c r="X26" i="8"/>
  <c r="W26" i="8"/>
  <c r="K27" i="8"/>
  <c r="J27" i="8"/>
  <c r="Q27" i="8"/>
  <c r="C28" i="8"/>
  <c r="B28" i="8"/>
  <c r="D27" i="8"/>
  <c r="E27" i="8"/>
  <c r="H27" i="8"/>
  <c r="G27" i="8"/>
  <c r="M27" i="8"/>
  <c r="N27" i="8"/>
  <c r="V33" i="22" l="1"/>
  <c r="B33" i="22"/>
  <c r="V33" i="21"/>
  <c r="B33" i="21"/>
  <c r="T33" i="22"/>
  <c r="S33" i="22"/>
  <c r="E33" i="22"/>
  <c r="D33" i="22"/>
  <c r="X32" i="22"/>
  <c r="H33" i="22"/>
  <c r="G33" i="22"/>
  <c r="Y32" i="22"/>
  <c r="K33" i="22"/>
  <c r="J33" i="22"/>
  <c r="Q33" i="22"/>
  <c r="P33" i="22"/>
  <c r="M33" i="22"/>
  <c r="N33" i="22"/>
  <c r="Y32" i="21"/>
  <c r="X32" i="21"/>
  <c r="H33" i="21"/>
  <c r="G33" i="21"/>
  <c r="Q33" i="21"/>
  <c r="P33" i="21"/>
  <c r="K33" i="21"/>
  <c r="J33" i="21"/>
  <c r="M33" i="21"/>
  <c r="N33" i="21"/>
  <c r="E33" i="21"/>
  <c r="D33" i="21"/>
  <c r="T33" i="21"/>
  <c r="S33" i="21"/>
  <c r="X33" i="20"/>
  <c r="X34" i="20" s="1"/>
  <c r="Y33" i="20"/>
  <c r="Y34" i="20" s="1"/>
  <c r="C17" i="4" s="1"/>
  <c r="X33" i="18"/>
  <c r="X34" i="18" s="1"/>
  <c r="B16" i="4" s="1"/>
  <c r="Y33" i="18"/>
  <c r="Y34" i="18" s="1"/>
  <c r="C16" i="4" s="1"/>
  <c r="I30" i="9"/>
  <c r="F30" i="9"/>
  <c r="L30" i="9"/>
  <c r="O30" i="9"/>
  <c r="W28" i="9"/>
  <c r="U29" i="9"/>
  <c r="T29" i="9"/>
  <c r="S29" i="9"/>
  <c r="X28" i="9"/>
  <c r="K29" i="9"/>
  <c r="J29" i="9"/>
  <c r="M29" i="9"/>
  <c r="R30" i="9"/>
  <c r="N29" i="9"/>
  <c r="H29" i="9"/>
  <c r="G29" i="9"/>
  <c r="Q29" i="9"/>
  <c r="C30" i="9"/>
  <c r="B30" i="9"/>
  <c r="E29" i="9"/>
  <c r="D29" i="9"/>
  <c r="O29" i="8"/>
  <c r="P29" i="8" s="1"/>
  <c r="L29" i="8"/>
  <c r="R30" i="8" s="1"/>
  <c r="F29" i="8" a="1"/>
  <c r="F29" i="8" s="1"/>
  <c r="I29" i="8" a="1"/>
  <c r="I29" i="8" s="1"/>
  <c r="Q28" i="8"/>
  <c r="N28" i="8"/>
  <c r="M28" i="8"/>
  <c r="B29" i="8"/>
  <c r="C29" i="8"/>
  <c r="E28" i="8"/>
  <c r="D28" i="8"/>
  <c r="X27" i="8"/>
  <c r="K28" i="8"/>
  <c r="J28" i="8"/>
  <c r="U28" i="8"/>
  <c r="T28" i="8"/>
  <c r="S28" i="8"/>
  <c r="H28" i="8"/>
  <c r="G28" i="8"/>
  <c r="W27" i="8"/>
  <c r="B17" i="4" l="1"/>
  <c r="C4" i="10"/>
  <c r="C5" i="4"/>
  <c r="C12" i="4"/>
  <c r="C3" i="4"/>
  <c r="C10" i="4"/>
  <c r="B5" i="4"/>
  <c r="B12" i="4"/>
  <c r="B3" i="4"/>
  <c r="B10" i="4"/>
  <c r="X33" i="22"/>
  <c r="X34" i="22" s="1"/>
  <c r="B6" i="4" s="1"/>
  <c r="Y33" i="22"/>
  <c r="Y34" i="22" s="1"/>
  <c r="C6" i="4" s="1"/>
  <c r="Y33" i="21"/>
  <c r="Y34" i="21" s="1"/>
  <c r="X33" i="21"/>
  <c r="X34" i="21" s="1"/>
  <c r="L31" i="9"/>
  <c r="F31" i="9"/>
  <c r="I31" i="9"/>
  <c r="O31" i="9"/>
  <c r="P31" i="9" s="1"/>
  <c r="P30" i="9"/>
  <c r="L30" i="8"/>
  <c r="R31" i="8" s="1"/>
  <c r="W29" i="9"/>
  <c r="U30" i="9"/>
  <c r="T30" i="9"/>
  <c r="S30" i="9"/>
  <c r="F30" i="8" a="1"/>
  <c r="F30" i="8" s="1"/>
  <c r="M30" i="9"/>
  <c r="R31" i="9"/>
  <c r="N30" i="9"/>
  <c r="K30" i="9"/>
  <c r="J30" i="9"/>
  <c r="C31" i="9"/>
  <c r="B31" i="9"/>
  <c r="E30" i="9"/>
  <c r="D30" i="9"/>
  <c r="H30" i="9"/>
  <c r="G30" i="9"/>
  <c r="X29" i="9"/>
  <c r="Q30" i="9"/>
  <c r="O30" i="8"/>
  <c r="I30" i="8" a="1"/>
  <c r="I30" i="8" s="1"/>
  <c r="W28" i="8"/>
  <c r="E29" i="8"/>
  <c r="D29" i="8"/>
  <c r="C30" i="8"/>
  <c r="B30" i="8"/>
  <c r="S29" i="8"/>
  <c r="U29" i="8"/>
  <c r="T29" i="8"/>
  <c r="K29" i="8"/>
  <c r="J29" i="8"/>
  <c r="Q29" i="8"/>
  <c r="G29" i="8"/>
  <c r="H29" i="8"/>
  <c r="N29" i="8"/>
  <c r="M29" i="8"/>
  <c r="X28" i="8"/>
  <c r="C4" i="4" l="1"/>
  <c r="C11" i="4"/>
  <c r="B4" i="4"/>
  <c r="B11" i="4"/>
  <c r="L32" i="9"/>
  <c r="O32" i="9"/>
  <c r="P32" i="9" s="1"/>
  <c r="F32" i="9"/>
  <c r="I32" i="9"/>
  <c r="I31" i="8" a="1"/>
  <c r="I31" i="8" s="1"/>
  <c r="P30" i="8"/>
  <c r="U31" i="9"/>
  <c r="T31" i="9"/>
  <c r="S31" i="9"/>
  <c r="M31" i="9"/>
  <c r="R32" i="9"/>
  <c r="N31" i="9"/>
  <c r="W30" i="9"/>
  <c r="H31" i="9"/>
  <c r="G31" i="9"/>
  <c r="C32" i="9"/>
  <c r="B32" i="9"/>
  <c r="E31" i="9"/>
  <c r="D31" i="9"/>
  <c r="X30" i="9"/>
  <c r="K31" i="9"/>
  <c r="J31" i="9"/>
  <c r="Q31" i="9"/>
  <c r="L31" i="8"/>
  <c r="R32" i="8" s="1"/>
  <c r="O31" i="8"/>
  <c r="P31" i="8" s="1"/>
  <c r="F31" i="8" a="1"/>
  <c r="F31" i="8" s="1"/>
  <c r="W29" i="8"/>
  <c r="N30" i="8"/>
  <c r="M30" i="8"/>
  <c r="D30" i="8"/>
  <c r="E30" i="8"/>
  <c r="C31" i="8"/>
  <c r="B31" i="8"/>
  <c r="K30" i="8"/>
  <c r="J30" i="8"/>
  <c r="Q30" i="8"/>
  <c r="G30" i="8"/>
  <c r="H30" i="8"/>
  <c r="S30" i="8"/>
  <c r="U30" i="8"/>
  <c r="T30" i="8"/>
  <c r="X29" i="8"/>
  <c r="E11" i="4" l="1"/>
  <c r="E12" i="4"/>
  <c r="D12" i="4"/>
  <c r="D11" i="4"/>
  <c r="F33" i="9"/>
  <c r="L33" i="9"/>
  <c r="L32" i="8"/>
  <c r="R33" i="8" s="1"/>
  <c r="O32" i="8"/>
  <c r="P32" i="8" s="1"/>
  <c r="O33" i="9"/>
  <c r="P33" i="9" s="1"/>
  <c r="I33" i="9"/>
  <c r="Q32" i="9"/>
  <c r="W31" i="9"/>
  <c r="U32" i="9"/>
  <c r="T32" i="9"/>
  <c r="S32" i="9"/>
  <c r="I32" i="8" a="1"/>
  <c r="I32" i="8" s="1"/>
  <c r="X31" i="9"/>
  <c r="C33" i="9"/>
  <c r="B33" i="9"/>
  <c r="E32" i="9"/>
  <c r="D32" i="9"/>
  <c r="H32" i="9"/>
  <c r="G32" i="9"/>
  <c r="K32" i="9"/>
  <c r="J32" i="9"/>
  <c r="F32" i="8" a="1"/>
  <c r="F32" i="8" s="1"/>
  <c r="M32" i="9"/>
  <c r="R33" i="9"/>
  <c r="N32" i="9"/>
  <c r="X30" i="8"/>
  <c r="W30" i="8"/>
  <c r="H31" i="8"/>
  <c r="G31" i="8"/>
  <c r="N31" i="8"/>
  <c r="M31" i="8"/>
  <c r="K31" i="8"/>
  <c r="J31" i="8"/>
  <c r="E31" i="8"/>
  <c r="D31" i="8"/>
  <c r="B32" i="8"/>
  <c r="C32" i="8"/>
  <c r="Q31" i="8"/>
  <c r="U31" i="8"/>
  <c r="T31" i="8"/>
  <c r="S31" i="8"/>
  <c r="F11" i="4" l="1"/>
  <c r="F12" i="4"/>
  <c r="L33" i="8"/>
  <c r="I33" i="8" a="1"/>
  <c r="I33" i="8" s="1"/>
  <c r="U33" i="9"/>
  <c r="T33" i="9"/>
  <c r="S33" i="9"/>
  <c r="F33" i="8" a="1"/>
  <c r="F33" i="8" s="1"/>
  <c r="M33" i="9"/>
  <c r="N33" i="9"/>
  <c r="W32" i="9"/>
  <c r="E33" i="9"/>
  <c r="D33" i="9"/>
  <c r="Q33" i="9"/>
  <c r="X32" i="9"/>
  <c r="O33" i="8"/>
  <c r="P33" i="8" s="1"/>
  <c r="H33" i="9"/>
  <c r="G33" i="9"/>
  <c r="K33" i="9"/>
  <c r="J33" i="9"/>
  <c r="X31" i="8"/>
  <c r="U32" i="8"/>
  <c r="T32" i="8"/>
  <c r="S32" i="8"/>
  <c r="M32" i="8"/>
  <c r="N32" i="8"/>
  <c r="K32" i="8"/>
  <c r="J32" i="8"/>
  <c r="E32" i="8"/>
  <c r="D32" i="8"/>
  <c r="C33" i="8"/>
  <c r="B33" i="8"/>
  <c r="Q32" i="8"/>
  <c r="W31" i="8"/>
  <c r="H32" i="8"/>
  <c r="G32" i="8"/>
  <c r="X33" i="9" l="1"/>
  <c r="X34" i="9" s="1"/>
  <c r="W33" i="9"/>
  <c r="W34" i="9" s="1"/>
  <c r="X32" i="8"/>
  <c r="H33" i="8"/>
  <c r="G33" i="8"/>
  <c r="M33" i="8"/>
  <c r="N33" i="8"/>
  <c r="K33" i="8"/>
  <c r="J33" i="8"/>
  <c r="D33" i="8"/>
  <c r="E33" i="8"/>
  <c r="Q33" i="8"/>
  <c r="U33" i="8"/>
  <c r="T33" i="8"/>
  <c r="S33" i="8"/>
  <c r="W32" i="8"/>
  <c r="X33" i="8" l="1"/>
  <c r="X34" i="8" s="1"/>
  <c r="W33" i="8"/>
  <c r="W34" i="8" s="1"/>
  <c r="R4" i="3" l="1"/>
  <c r="B3" i="3"/>
  <c r="O4" i="3"/>
  <c r="R4" i="6"/>
  <c r="B3" i="6"/>
  <c r="C3" i="6" s="1"/>
  <c r="E3" i="6" s="1"/>
  <c r="X3" i="6" s="1"/>
  <c r="W3" i="6"/>
  <c r="W3" i="3"/>
  <c r="Q4" i="3" l="1"/>
  <c r="P4" i="3"/>
  <c r="T4" i="6"/>
  <c r="S4" i="6"/>
  <c r="S4" i="3"/>
  <c r="T4" i="3"/>
  <c r="F4" i="6"/>
  <c r="I4" i="6"/>
  <c r="C4" i="6"/>
  <c r="B4" i="6"/>
  <c r="C3" i="3"/>
  <c r="E3" i="3" s="1"/>
  <c r="X3" i="3" s="1"/>
  <c r="U3" i="6"/>
  <c r="L4" i="6"/>
  <c r="E4" i="6" l="1"/>
  <c r="D4" i="6"/>
  <c r="H4" i="6"/>
  <c r="G4" i="6"/>
  <c r="K4" i="6"/>
  <c r="J4" i="6"/>
  <c r="N4" i="6"/>
  <c r="M4" i="6"/>
  <c r="O5" i="6"/>
  <c r="L5" i="6"/>
  <c r="I5" i="6"/>
  <c r="F5" i="6"/>
  <c r="F4" i="3"/>
  <c r="G4" i="3" s="1"/>
  <c r="C4" i="3"/>
  <c r="I4" i="3"/>
  <c r="L4" i="3"/>
  <c r="B4" i="3"/>
  <c r="U3" i="3"/>
  <c r="C5" i="6"/>
  <c r="B5" i="6"/>
  <c r="U4" i="6"/>
  <c r="R5" i="6"/>
  <c r="N5" i="6" l="1"/>
  <c r="M5" i="6"/>
  <c r="K5" i="6"/>
  <c r="J5" i="6"/>
  <c r="T5" i="6"/>
  <c r="S5" i="6"/>
  <c r="H5" i="6"/>
  <c r="G5" i="6"/>
  <c r="M4" i="3"/>
  <c r="N4" i="3"/>
  <c r="Q5" i="6"/>
  <c r="P5" i="6"/>
  <c r="D5" i="6"/>
  <c r="E5" i="6"/>
  <c r="E4" i="3"/>
  <c r="D4" i="3"/>
  <c r="K4" i="3"/>
  <c r="J4" i="3"/>
  <c r="H4" i="3"/>
  <c r="I6" i="6"/>
  <c r="F6" i="6"/>
  <c r="L6" i="6"/>
  <c r="O6" i="6"/>
  <c r="U4" i="3"/>
  <c r="X4" i="6"/>
  <c r="R5" i="3"/>
  <c r="W4" i="6"/>
  <c r="I5" i="3"/>
  <c r="L5" i="3"/>
  <c r="C5" i="3"/>
  <c r="F5" i="3"/>
  <c r="B5" i="3"/>
  <c r="O5" i="3"/>
  <c r="C6" i="6"/>
  <c r="B6" i="6"/>
  <c r="R6" i="6"/>
  <c r="U5" i="6"/>
  <c r="K6" i="6" l="1"/>
  <c r="J6" i="6"/>
  <c r="F7" i="6"/>
  <c r="D6" i="6"/>
  <c r="E6" i="6"/>
  <c r="H6" i="6"/>
  <c r="G6" i="6"/>
  <c r="D5" i="3"/>
  <c r="E5" i="3"/>
  <c r="G5" i="3"/>
  <c r="H5" i="3"/>
  <c r="Q6" i="6"/>
  <c r="P6" i="6"/>
  <c r="M5" i="3"/>
  <c r="N5" i="3"/>
  <c r="S5" i="3"/>
  <c r="T5" i="3"/>
  <c r="N6" i="6"/>
  <c r="M6" i="6"/>
  <c r="J5" i="3"/>
  <c r="K5" i="3"/>
  <c r="P5" i="3"/>
  <c r="Q5" i="3"/>
  <c r="T6" i="6"/>
  <c r="S6" i="6"/>
  <c r="O7" i="6"/>
  <c r="L7" i="6"/>
  <c r="I7" i="6"/>
  <c r="X4" i="3"/>
  <c r="B6" i="3"/>
  <c r="L6" i="3"/>
  <c r="C6" i="3"/>
  <c r="F6" i="3"/>
  <c r="I6" i="3"/>
  <c r="W4" i="3"/>
  <c r="R6" i="3"/>
  <c r="O6" i="3"/>
  <c r="U5" i="3"/>
  <c r="U6" i="6"/>
  <c r="W5" i="6"/>
  <c r="R7" i="6"/>
  <c r="X5" i="6"/>
  <c r="C7" i="6"/>
  <c r="B7" i="6"/>
  <c r="F8" i="6" l="1"/>
  <c r="H8" i="6" s="1"/>
  <c r="S6" i="3"/>
  <c r="T6" i="3"/>
  <c r="G6" i="3"/>
  <c r="H6" i="3"/>
  <c r="M6" i="3"/>
  <c r="N6" i="3"/>
  <c r="T7" i="6"/>
  <c r="S7" i="6"/>
  <c r="J6" i="3"/>
  <c r="K6" i="3"/>
  <c r="N7" i="6"/>
  <c r="M7" i="6"/>
  <c r="H7" i="6"/>
  <c r="G7" i="6"/>
  <c r="D6" i="3"/>
  <c r="E6" i="3"/>
  <c r="O8" i="6"/>
  <c r="J7" i="6"/>
  <c r="K7" i="6"/>
  <c r="Q7" i="6"/>
  <c r="P7" i="6"/>
  <c r="D7" i="6"/>
  <c r="E7" i="6"/>
  <c r="P6" i="3"/>
  <c r="Q6" i="3"/>
  <c r="I8" i="6"/>
  <c r="L8" i="6"/>
  <c r="U6" i="3"/>
  <c r="W5" i="3"/>
  <c r="O7" i="3"/>
  <c r="F7" i="3"/>
  <c r="B7" i="3"/>
  <c r="I7" i="3"/>
  <c r="L7" i="3"/>
  <c r="C7" i="3"/>
  <c r="R7" i="3"/>
  <c r="X5" i="3"/>
  <c r="W6" i="6"/>
  <c r="U7" i="6"/>
  <c r="X6" i="6"/>
  <c r="C8" i="6"/>
  <c r="B8" i="6"/>
  <c r="R8" i="6"/>
  <c r="G8" i="6" l="1"/>
  <c r="M7" i="3"/>
  <c r="N7" i="3"/>
  <c r="T8" i="6"/>
  <c r="S8" i="6"/>
  <c r="J7" i="3"/>
  <c r="K7" i="3"/>
  <c r="P7" i="3"/>
  <c r="Q7" i="3"/>
  <c r="G7" i="3"/>
  <c r="H7" i="3"/>
  <c r="K8" i="6"/>
  <c r="J8" i="6"/>
  <c r="Q8" i="6"/>
  <c r="P8" i="6"/>
  <c r="S7" i="3"/>
  <c r="T7" i="3"/>
  <c r="I9" i="6"/>
  <c r="E8" i="6"/>
  <c r="D8" i="6"/>
  <c r="M8" i="6"/>
  <c r="N8" i="6"/>
  <c r="D7" i="3"/>
  <c r="E7" i="3"/>
  <c r="F9" i="6"/>
  <c r="L9" i="6"/>
  <c r="O9" i="6"/>
  <c r="X6" i="3"/>
  <c r="U7" i="3"/>
  <c r="W6" i="3"/>
  <c r="O8" i="3"/>
  <c r="R8" i="3"/>
  <c r="C8" i="3"/>
  <c r="I8" i="3"/>
  <c r="L8" i="3"/>
  <c r="F8" i="3"/>
  <c r="B8" i="3"/>
  <c r="X7" i="6"/>
  <c r="U8" i="6"/>
  <c r="W7" i="6"/>
  <c r="C9" i="6"/>
  <c r="B9" i="6"/>
  <c r="R9" i="6"/>
  <c r="I10" i="6" l="1"/>
  <c r="K10" i="6" s="1"/>
  <c r="J8" i="3"/>
  <c r="K8" i="3"/>
  <c r="M8" i="3"/>
  <c r="N8" i="3"/>
  <c r="H9" i="6"/>
  <c r="G9" i="6"/>
  <c r="S8" i="3"/>
  <c r="T8" i="3"/>
  <c r="D8" i="3"/>
  <c r="E8" i="3"/>
  <c r="K9" i="6"/>
  <c r="J9" i="6"/>
  <c r="G8" i="3"/>
  <c r="H8" i="3"/>
  <c r="P8" i="3"/>
  <c r="Q8" i="3"/>
  <c r="L10" i="6"/>
  <c r="E9" i="6"/>
  <c r="D9" i="6"/>
  <c r="Q9" i="6"/>
  <c r="P9" i="6"/>
  <c r="T9" i="6"/>
  <c r="S9" i="6"/>
  <c r="N9" i="6"/>
  <c r="M9" i="6"/>
  <c r="O10" i="6"/>
  <c r="F10" i="6"/>
  <c r="X7" i="3"/>
  <c r="O9" i="3"/>
  <c r="U8" i="3"/>
  <c r="R9" i="3"/>
  <c r="F9" i="3"/>
  <c r="B9" i="3"/>
  <c r="C9" i="3"/>
  <c r="I9" i="3"/>
  <c r="L9" i="3"/>
  <c r="W7" i="3"/>
  <c r="U9" i="6"/>
  <c r="W8" i="6"/>
  <c r="X8" i="6"/>
  <c r="R10" i="6"/>
  <c r="C10" i="6"/>
  <c r="B10" i="6"/>
  <c r="F11" i="6" l="1"/>
  <c r="G11" i="6" s="1"/>
  <c r="J10" i="6"/>
  <c r="N10" i="6"/>
  <c r="M10" i="6"/>
  <c r="D9" i="3"/>
  <c r="E9" i="3"/>
  <c r="G9" i="3"/>
  <c r="H9" i="3"/>
  <c r="T10" i="6"/>
  <c r="S10" i="6"/>
  <c r="O11" i="6"/>
  <c r="H10" i="6"/>
  <c r="G10" i="6"/>
  <c r="S9" i="3"/>
  <c r="T9" i="3"/>
  <c r="Q10" i="6"/>
  <c r="P10" i="6"/>
  <c r="M9" i="3"/>
  <c r="N9" i="3"/>
  <c r="L11" i="6"/>
  <c r="D10" i="6"/>
  <c r="E10" i="6"/>
  <c r="P9" i="3"/>
  <c r="Q9" i="3"/>
  <c r="J9" i="3"/>
  <c r="K9" i="3"/>
  <c r="I11" i="6"/>
  <c r="X8" i="3"/>
  <c r="U9" i="3"/>
  <c r="W8" i="3"/>
  <c r="R10" i="3"/>
  <c r="I10" i="3"/>
  <c r="L10" i="3"/>
  <c r="C10" i="3"/>
  <c r="F10" i="3"/>
  <c r="B10" i="3"/>
  <c r="O10" i="3"/>
  <c r="W9" i="6"/>
  <c r="X9" i="6"/>
  <c r="U10" i="6"/>
  <c r="R11" i="6"/>
  <c r="C11" i="6"/>
  <c r="B11" i="6"/>
  <c r="H11" i="6" l="1"/>
  <c r="D10" i="3"/>
  <c r="E10" i="3"/>
  <c r="P11" i="6"/>
  <c r="Q11" i="6"/>
  <c r="S10" i="3"/>
  <c r="T10" i="3"/>
  <c r="H10" i="3"/>
  <c r="G10" i="3"/>
  <c r="M11" i="6"/>
  <c r="N11" i="6"/>
  <c r="I12" i="6"/>
  <c r="D11" i="6"/>
  <c r="E11" i="6"/>
  <c r="S11" i="6"/>
  <c r="T11" i="6"/>
  <c r="M10" i="3"/>
  <c r="N10" i="3"/>
  <c r="J11" i="6"/>
  <c r="K11" i="6"/>
  <c r="J10" i="3"/>
  <c r="K10" i="3"/>
  <c r="P10" i="3"/>
  <c r="Q10" i="3"/>
  <c r="L12" i="6"/>
  <c r="F12" i="6"/>
  <c r="O12" i="6"/>
  <c r="X9" i="3"/>
  <c r="O11" i="3"/>
  <c r="C11" i="3"/>
  <c r="B11" i="3"/>
  <c r="I11" i="3"/>
  <c r="F11" i="3"/>
  <c r="L11" i="3"/>
  <c r="W9" i="3"/>
  <c r="U10" i="3"/>
  <c r="R11" i="3"/>
  <c r="R12" i="6"/>
  <c r="C12" i="6"/>
  <c r="B12" i="6"/>
  <c r="X10" i="6"/>
  <c r="U11" i="6"/>
  <c r="W10" i="6"/>
  <c r="S11" i="3" l="1"/>
  <c r="T11" i="3"/>
  <c r="M12" i="6"/>
  <c r="N12" i="6"/>
  <c r="D11" i="3"/>
  <c r="E11" i="3"/>
  <c r="M11" i="3"/>
  <c r="N11" i="3"/>
  <c r="J12" i="6"/>
  <c r="K12" i="6"/>
  <c r="J11" i="3"/>
  <c r="K11" i="3"/>
  <c r="Q12" i="6"/>
  <c r="P12" i="6"/>
  <c r="G11" i="3"/>
  <c r="H11" i="3"/>
  <c r="P11" i="3"/>
  <c r="Q11" i="3"/>
  <c r="L13" i="6"/>
  <c r="E12" i="6"/>
  <c r="D12" i="6"/>
  <c r="S12" i="6"/>
  <c r="T12" i="6"/>
  <c r="H12" i="6"/>
  <c r="G12" i="6"/>
  <c r="O13" i="6"/>
  <c r="F13" i="6"/>
  <c r="I13" i="6"/>
  <c r="X10" i="3"/>
  <c r="W10" i="3"/>
  <c r="R12" i="3"/>
  <c r="O12" i="3"/>
  <c r="F12" i="3"/>
  <c r="L12" i="3"/>
  <c r="B12" i="3"/>
  <c r="I12" i="3"/>
  <c r="C12" i="3"/>
  <c r="U11" i="3"/>
  <c r="R13" i="6"/>
  <c r="W11" i="6"/>
  <c r="U12" i="6"/>
  <c r="C13" i="6"/>
  <c r="B13" i="6"/>
  <c r="X11" i="6"/>
  <c r="M12" i="3" l="1"/>
  <c r="N12" i="3"/>
  <c r="P12" i="3"/>
  <c r="Q12" i="3"/>
  <c r="J12" i="3"/>
  <c r="K12" i="3"/>
  <c r="F14" i="6"/>
  <c r="E13" i="6"/>
  <c r="D13" i="6"/>
  <c r="M13" i="6"/>
  <c r="N13" i="6"/>
  <c r="T13" i="6"/>
  <c r="S13" i="6"/>
  <c r="G12" i="3"/>
  <c r="H12" i="3"/>
  <c r="S12" i="3"/>
  <c r="T12" i="3"/>
  <c r="J13" i="6"/>
  <c r="K13" i="6"/>
  <c r="G13" i="6"/>
  <c r="H13" i="6"/>
  <c r="P13" i="6"/>
  <c r="Q13" i="6"/>
  <c r="D12" i="3"/>
  <c r="E12" i="3"/>
  <c r="L14" i="6"/>
  <c r="I14" i="6"/>
  <c r="O14" i="6"/>
  <c r="X11" i="3"/>
  <c r="R13" i="3"/>
  <c r="O13" i="3"/>
  <c r="W11" i="3"/>
  <c r="U12" i="3"/>
  <c r="B13" i="3"/>
  <c r="L13" i="3"/>
  <c r="C13" i="3"/>
  <c r="F13" i="3"/>
  <c r="I13" i="3"/>
  <c r="C14" i="6"/>
  <c r="B14" i="6"/>
  <c r="R14" i="6"/>
  <c r="W12" i="6"/>
  <c r="U13" i="6"/>
  <c r="X12" i="6"/>
  <c r="D13" i="3" l="1"/>
  <c r="E13" i="3"/>
  <c r="G14" i="6"/>
  <c r="H14" i="6"/>
  <c r="M13" i="3"/>
  <c r="N13" i="3"/>
  <c r="P14" i="6"/>
  <c r="Q14" i="6"/>
  <c r="S13" i="3"/>
  <c r="T13" i="3"/>
  <c r="J14" i="6"/>
  <c r="K14" i="6"/>
  <c r="S14" i="6"/>
  <c r="T14" i="6"/>
  <c r="J13" i="3"/>
  <c r="K13" i="3"/>
  <c r="M14" i="6"/>
  <c r="N14" i="6"/>
  <c r="P13" i="3"/>
  <c r="Q13" i="3"/>
  <c r="E14" i="6"/>
  <c r="D14" i="6"/>
  <c r="G13" i="3"/>
  <c r="H13" i="3"/>
  <c r="L15" i="6"/>
  <c r="F15" i="6"/>
  <c r="O15" i="6"/>
  <c r="I15" i="6"/>
  <c r="L14" i="3"/>
  <c r="C14" i="3"/>
  <c r="B14" i="3"/>
  <c r="F14" i="3"/>
  <c r="I14" i="3"/>
  <c r="R14" i="3"/>
  <c r="O14" i="3"/>
  <c r="X12" i="3"/>
  <c r="W12" i="3"/>
  <c r="U13" i="3"/>
  <c r="X13" i="6"/>
  <c r="W13" i="6"/>
  <c r="U14" i="6"/>
  <c r="R15" i="6"/>
  <c r="C15" i="6"/>
  <c r="B15" i="6"/>
  <c r="J14" i="3" l="1"/>
  <c r="K14" i="3"/>
  <c r="G14" i="3"/>
  <c r="H14" i="3"/>
  <c r="S14" i="3"/>
  <c r="T14" i="3"/>
  <c r="F16" i="6"/>
  <c r="E15" i="6"/>
  <c r="D15" i="6"/>
  <c r="S15" i="6"/>
  <c r="T15" i="6"/>
  <c r="M14" i="3"/>
  <c r="N14" i="3"/>
  <c r="J15" i="6"/>
  <c r="K15" i="6"/>
  <c r="G15" i="6"/>
  <c r="H15" i="6"/>
  <c r="P14" i="3"/>
  <c r="Q14" i="3"/>
  <c r="D14" i="3"/>
  <c r="E14" i="3"/>
  <c r="P15" i="6"/>
  <c r="Q15" i="6"/>
  <c r="M15" i="6"/>
  <c r="N15" i="6"/>
  <c r="L16" i="6"/>
  <c r="O16" i="6"/>
  <c r="I16" i="6"/>
  <c r="W13" i="3"/>
  <c r="B15" i="3"/>
  <c r="I15" i="3"/>
  <c r="L15" i="3"/>
  <c r="C15" i="3"/>
  <c r="F15" i="3"/>
  <c r="U14" i="3"/>
  <c r="X13" i="3"/>
  <c r="O15" i="3"/>
  <c r="R15" i="3"/>
  <c r="X14" i="6"/>
  <c r="W14" i="6"/>
  <c r="U15" i="6"/>
  <c r="C16" i="6"/>
  <c r="B16" i="6"/>
  <c r="R16" i="6"/>
  <c r="G15" i="3" l="1"/>
  <c r="H15" i="3"/>
  <c r="G16" i="6"/>
  <c r="H16" i="6"/>
  <c r="D15" i="3"/>
  <c r="E15" i="3"/>
  <c r="F17" i="6"/>
  <c r="E16" i="6"/>
  <c r="D16" i="6"/>
  <c r="M15" i="3"/>
  <c r="N15" i="3"/>
  <c r="J15" i="3"/>
  <c r="K15" i="3"/>
  <c r="S15" i="3"/>
  <c r="T15" i="3"/>
  <c r="M16" i="6"/>
  <c r="N16" i="6"/>
  <c r="S16" i="6"/>
  <c r="T16" i="6"/>
  <c r="J16" i="6"/>
  <c r="K16" i="6"/>
  <c r="P16" i="6"/>
  <c r="Q16" i="6"/>
  <c r="P15" i="3"/>
  <c r="Q15" i="3"/>
  <c r="L17" i="6"/>
  <c r="I17" i="6"/>
  <c r="O17" i="6"/>
  <c r="O16" i="3"/>
  <c r="X14" i="3"/>
  <c r="U15" i="3"/>
  <c r="W14" i="3"/>
  <c r="I16" i="3"/>
  <c r="L16" i="3"/>
  <c r="F16" i="3"/>
  <c r="B16" i="3"/>
  <c r="C16" i="3"/>
  <c r="R16" i="3"/>
  <c r="X15" i="6"/>
  <c r="R17" i="6"/>
  <c r="U16" i="6"/>
  <c r="W15" i="6"/>
  <c r="C17" i="6"/>
  <c r="B17" i="6"/>
  <c r="M16" i="3" l="1"/>
  <c r="N16" i="3"/>
  <c r="G16" i="3"/>
  <c r="H16" i="3"/>
  <c r="H17" i="6"/>
  <c r="G17" i="6"/>
  <c r="Q17" i="6"/>
  <c r="P17" i="6"/>
  <c r="K16" i="3"/>
  <c r="J16" i="3"/>
  <c r="D17" i="6"/>
  <c r="E17" i="6"/>
  <c r="P16" i="3"/>
  <c r="Q16" i="3"/>
  <c r="T17" i="6"/>
  <c r="S17" i="6"/>
  <c r="K17" i="6"/>
  <c r="J17" i="6"/>
  <c r="N17" i="6"/>
  <c r="M17" i="6"/>
  <c r="S16" i="3"/>
  <c r="T16" i="3"/>
  <c r="E16" i="3"/>
  <c r="D16" i="3"/>
  <c r="X15" i="3"/>
  <c r="L18" i="6"/>
  <c r="F18" i="6"/>
  <c r="O18" i="6"/>
  <c r="I18" i="6"/>
  <c r="R17" i="3"/>
  <c r="U16" i="3"/>
  <c r="O17" i="3"/>
  <c r="W15" i="3"/>
  <c r="F17" i="3"/>
  <c r="I17" i="3"/>
  <c r="B17" i="3"/>
  <c r="L17" i="3"/>
  <c r="C17" i="3"/>
  <c r="X16" i="6"/>
  <c r="W16" i="6"/>
  <c r="R18" i="6"/>
  <c r="C18" i="6"/>
  <c r="B18" i="6"/>
  <c r="U17" i="6"/>
  <c r="G17" i="3" l="1"/>
  <c r="H17" i="3"/>
  <c r="J17" i="3"/>
  <c r="K17" i="3"/>
  <c r="P17" i="3"/>
  <c r="Q17" i="3"/>
  <c r="I19" i="6"/>
  <c r="D18" i="6"/>
  <c r="E18" i="6"/>
  <c r="T18" i="6"/>
  <c r="S18" i="6"/>
  <c r="Q18" i="6"/>
  <c r="P18" i="6"/>
  <c r="H18" i="6"/>
  <c r="G18" i="6"/>
  <c r="K18" i="6"/>
  <c r="J18" i="6"/>
  <c r="D17" i="3"/>
  <c r="E17" i="3"/>
  <c r="S17" i="3"/>
  <c r="T17" i="3"/>
  <c r="M18" i="6"/>
  <c r="N18" i="6"/>
  <c r="M17" i="3"/>
  <c r="N17" i="3"/>
  <c r="F19" i="6"/>
  <c r="L19" i="6"/>
  <c r="O19" i="6"/>
  <c r="F18" i="3"/>
  <c r="B18" i="3"/>
  <c r="I18" i="3"/>
  <c r="L18" i="3"/>
  <c r="C18" i="3"/>
  <c r="R18" i="3"/>
  <c r="W16" i="3"/>
  <c r="X16" i="3"/>
  <c r="U17" i="3"/>
  <c r="O18" i="3"/>
  <c r="W17" i="6"/>
  <c r="U18" i="6"/>
  <c r="R19" i="6"/>
  <c r="C19" i="6"/>
  <c r="B19" i="6"/>
  <c r="X17" i="6"/>
  <c r="K19" i="6" l="1"/>
  <c r="J19" i="6"/>
  <c r="S18" i="3"/>
  <c r="T18" i="3"/>
  <c r="M18" i="3"/>
  <c r="N18" i="3"/>
  <c r="T19" i="6"/>
  <c r="S19" i="6"/>
  <c r="L20" i="6"/>
  <c r="D19" i="6"/>
  <c r="E19" i="6"/>
  <c r="P19" i="6"/>
  <c r="Q19" i="6"/>
  <c r="J18" i="3"/>
  <c r="K18" i="3"/>
  <c r="G18" i="3"/>
  <c r="H18" i="3"/>
  <c r="P18" i="3"/>
  <c r="Q18" i="3"/>
  <c r="G19" i="6"/>
  <c r="H19" i="6"/>
  <c r="D18" i="3"/>
  <c r="E18" i="3"/>
  <c r="N19" i="6"/>
  <c r="M19" i="6"/>
  <c r="F20" i="6"/>
  <c r="O20" i="6"/>
  <c r="I20" i="6"/>
  <c r="U18" i="3"/>
  <c r="W17" i="3"/>
  <c r="X17" i="3"/>
  <c r="B19" i="3"/>
  <c r="F19" i="3"/>
  <c r="C19" i="3"/>
  <c r="I19" i="3"/>
  <c r="L19" i="3"/>
  <c r="R19" i="3"/>
  <c r="O19" i="3"/>
  <c r="W18" i="6"/>
  <c r="X18" i="6"/>
  <c r="U19" i="6"/>
  <c r="R20" i="6"/>
  <c r="C20" i="6"/>
  <c r="B20" i="6"/>
  <c r="G19" i="3" l="1"/>
  <c r="H19" i="3"/>
  <c r="M19" i="3"/>
  <c r="N19" i="3"/>
  <c r="D19" i="3"/>
  <c r="E19" i="3"/>
  <c r="J19" i="3"/>
  <c r="K19" i="3"/>
  <c r="N20" i="6"/>
  <c r="M20" i="6"/>
  <c r="O21" i="6"/>
  <c r="K20" i="6"/>
  <c r="J20" i="6"/>
  <c r="P19" i="3"/>
  <c r="Q19" i="3"/>
  <c r="I21" i="6"/>
  <c r="D20" i="6"/>
  <c r="E20" i="6"/>
  <c r="T20" i="6"/>
  <c r="S20" i="6"/>
  <c r="Q20" i="6"/>
  <c r="P20" i="6"/>
  <c r="H20" i="6"/>
  <c r="G20" i="6"/>
  <c r="S19" i="3"/>
  <c r="T19" i="3"/>
  <c r="X18" i="3"/>
  <c r="F21" i="6"/>
  <c r="L21" i="6"/>
  <c r="R20" i="3"/>
  <c r="X19" i="6"/>
  <c r="O20" i="3"/>
  <c r="W18" i="3"/>
  <c r="F20" i="3"/>
  <c r="B20" i="3"/>
  <c r="C20" i="3"/>
  <c r="I20" i="3"/>
  <c r="L20" i="3"/>
  <c r="U19" i="3"/>
  <c r="W19" i="6"/>
  <c r="U20" i="6"/>
  <c r="R21" i="6"/>
  <c r="C21" i="6"/>
  <c r="B21" i="6"/>
  <c r="O22" i="6" l="1"/>
  <c r="Q22" i="6" s="1"/>
  <c r="G20" i="3"/>
  <c r="H20" i="3"/>
  <c r="P20" i="3"/>
  <c r="Q20" i="3"/>
  <c r="K21" i="6"/>
  <c r="J21" i="6"/>
  <c r="Q21" i="6"/>
  <c r="P21" i="6"/>
  <c r="L22" i="6"/>
  <c r="E21" i="6"/>
  <c r="D21" i="6"/>
  <c r="T21" i="6"/>
  <c r="S21" i="6"/>
  <c r="M20" i="3"/>
  <c r="N20" i="3"/>
  <c r="H21" i="6"/>
  <c r="G21" i="6"/>
  <c r="J20" i="3"/>
  <c r="K20" i="3"/>
  <c r="S20" i="3"/>
  <c r="T20" i="3"/>
  <c r="N21" i="6"/>
  <c r="M21" i="6"/>
  <c r="D20" i="3"/>
  <c r="E20" i="3"/>
  <c r="I22" i="6"/>
  <c r="F22" i="6"/>
  <c r="R21" i="3"/>
  <c r="W19" i="3"/>
  <c r="F21" i="3"/>
  <c r="B21" i="3"/>
  <c r="L21" i="3"/>
  <c r="C21" i="3"/>
  <c r="I21" i="3"/>
  <c r="U20" i="3"/>
  <c r="X19" i="3"/>
  <c r="O21" i="3"/>
  <c r="W20" i="6"/>
  <c r="R22" i="6"/>
  <c r="C22" i="6"/>
  <c r="B22" i="6"/>
  <c r="U21" i="6"/>
  <c r="X20" i="6"/>
  <c r="F23" i="6" l="1"/>
  <c r="G23" i="6" s="1"/>
  <c r="P22" i="6"/>
  <c r="M21" i="3"/>
  <c r="N21" i="3"/>
  <c r="J21" i="3"/>
  <c r="K21" i="3"/>
  <c r="D22" i="6"/>
  <c r="E22" i="6"/>
  <c r="O23" i="6"/>
  <c r="H22" i="6"/>
  <c r="G22" i="6"/>
  <c r="P21" i="3"/>
  <c r="Q21" i="3"/>
  <c r="N22" i="6"/>
  <c r="M22" i="6"/>
  <c r="S21" i="3"/>
  <c r="T21" i="3"/>
  <c r="K22" i="6"/>
  <c r="J22" i="6"/>
  <c r="D21" i="3"/>
  <c r="E21" i="3"/>
  <c r="G21" i="3"/>
  <c r="H21" i="3"/>
  <c r="T22" i="6"/>
  <c r="S22" i="6"/>
  <c r="L23" i="6"/>
  <c r="I23" i="6"/>
  <c r="R22" i="3"/>
  <c r="W20" i="3"/>
  <c r="L22" i="3"/>
  <c r="F22" i="3"/>
  <c r="I22" i="3"/>
  <c r="B22" i="3"/>
  <c r="C22" i="3"/>
  <c r="O22" i="3"/>
  <c r="U21" i="3"/>
  <c r="X20" i="3"/>
  <c r="W21" i="6"/>
  <c r="U22" i="6"/>
  <c r="R23" i="6"/>
  <c r="C23" i="6"/>
  <c r="B23" i="6"/>
  <c r="X21" i="6"/>
  <c r="H23" i="6" l="1"/>
  <c r="D22" i="3"/>
  <c r="E22" i="3"/>
  <c r="Q22" i="3"/>
  <c r="P22" i="3"/>
  <c r="K22" i="3"/>
  <c r="J22" i="3"/>
  <c r="T22" i="3"/>
  <c r="S22" i="3"/>
  <c r="P23" i="6"/>
  <c r="Q23" i="6"/>
  <c r="M22" i="3"/>
  <c r="N22" i="3"/>
  <c r="F24" i="6"/>
  <c r="D23" i="6"/>
  <c r="E23" i="6"/>
  <c r="S23" i="6"/>
  <c r="T23" i="6"/>
  <c r="M23" i="6"/>
  <c r="N23" i="6"/>
  <c r="G22" i="3"/>
  <c r="H22" i="3"/>
  <c r="J23" i="6"/>
  <c r="K23" i="6"/>
  <c r="L24" i="6"/>
  <c r="I24" i="6"/>
  <c r="O24" i="6"/>
  <c r="X21" i="3"/>
  <c r="O23" i="3"/>
  <c r="C23" i="3"/>
  <c r="F23" i="3"/>
  <c r="B23" i="3"/>
  <c r="I23" i="3"/>
  <c r="L23" i="3"/>
  <c r="W21" i="3"/>
  <c r="R23" i="3"/>
  <c r="U22" i="3"/>
  <c r="R24" i="6"/>
  <c r="C24" i="6"/>
  <c r="B24" i="6"/>
  <c r="U23" i="6"/>
  <c r="W22" i="6"/>
  <c r="X22" i="6"/>
  <c r="I25" i="6" l="1"/>
  <c r="K25" i="6" s="1"/>
  <c r="J23" i="3"/>
  <c r="K23" i="3"/>
  <c r="M23" i="3"/>
  <c r="N23" i="3"/>
  <c r="P23" i="3"/>
  <c r="Q23" i="3"/>
  <c r="M24" i="6"/>
  <c r="N24" i="6"/>
  <c r="G23" i="3"/>
  <c r="H23" i="3"/>
  <c r="S23" i="3"/>
  <c r="T23" i="3"/>
  <c r="P24" i="6"/>
  <c r="Q24" i="6"/>
  <c r="D23" i="3"/>
  <c r="E23" i="3"/>
  <c r="F25" i="6"/>
  <c r="E24" i="6"/>
  <c r="D24" i="6"/>
  <c r="S24" i="6"/>
  <c r="T24" i="6"/>
  <c r="J24" i="6"/>
  <c r="K24" i="6"/>
  <c r="G24" i="6"/>
  <c r="H24" i="6"/>
  <c r="L25" i="6"/>
  <c r="O25" i="6"/>
  <c r="X22" i="3"/>
  <c r="W22" i="3"/>
  <c r="R24" i="3"/>
  <c r="O24" i="3"/>
  <c r="F24" i="3"/>
  <c r="L24" i="3"/>
  <c r="B24" i="3"/>
  <c r="I24" i="3"/>
  <c r="C24" i="3"/>
  <c r="U23" i="3"/>
  <c r="W23" i="6"/>
  <c r="X23" i="6"/>
  <c r="U24" i="6"/>
  <c r="R25" i="6"/>
  <c r="C25" i="6"/>
  <c r="B25" i="6"/>
  <c r="I26" i="6" l="1"/>
  <c r="J26" i="6" s="1"/>
  <c r="J25" i="6"/>
  <c r="G24" i="3"/>
  <c r="H24" i="3"/>
  <c r="T25" i="6"/>
  <c r="S25" i="6"/>
  <c r="P24" i="3"/>
  <c r="Q24" i="3"/>
  <c r="H25" i="6"/>
  <c r="G25" i="6"/>
  <c r="M24" i="3"/>
  <c r="N24" i="3"/>
  <c r="L26" i="6"/>
  <c r="E25" i="6"/>
  <c r="D25" i="6"/>
  <c r="S24" i="3"/>
  <c r="T24" i="3"/>
  <c r="F26" i="6"/>
  <c r="M25" i="6"/>
  <c r="N25" i="6"/>
  <c r="D24" i="3"/>
  <c r="E24" i="3"/>
  <c r="P25" i="6"/>
  <c r="Q25" i="6"/>
  <c r="J24" i="3"/>
  <c r="K24" i="3"/>
  <c r="O26" i="6"/>
  <c r="O25" i="3"/>
  <c r="R25" i="3"/>
  <c r="W23" i="3"/>
  <c r="X23" i="3"/>
  <c r="C25" i="3"/>
  <c r="B25" i="3"/>
  <c r="I25" i="3"/>
  <c r="L25" i="3"/>
  <c r="F25" i="3"/>
  <c r="U24" i="3"/>
  <c r="W24" i="6"/>
  <c r="U25" i="6"/>
  <c r="X24" i="6"/>
  <c r="R26" i="6"/>
  <c r="C26" i="6"/>
  <c r="B26" i="6"/>
  <c r="K26" i="6" l="1"/>
  <c r="F27" i="6"/>
  <c r="G27" i="6" s="1"/>
  <c r="L27" i="6"/>
  <c r="E26" i="6"/>
  <c r="D26" i="6"/>
  <c r="M25" i="3"/>
  <c r="N25" i="3"/>
  <c r="I27" i="6"/>
  <c r="S25" i="3"/>
  <c r="T25" i="3"/>
  <c r="J25" i="3"/>
  <c r="K25" i="3"/>
  <c r="G26" i="6"/>
  <c r="H26" i="6"/>
  <c r="P26" i="6"/>
  <c r="Q26" i="6"/>
  <c r="D25" i="3"/>
  <c r="E25" i="3"/>
  <c r="S26" i="6"/>
  <c r="T26" i="6"/>
  <c r="O27" i="6"/>
  <c r="P25" i="3"/>
  <c r="Q25" i="3"/>
  <c r="G25" i="3"/>
  <c r="H25" i="3"/>
  <c r="M26" i="6"/>
  <c r="N26" i="6"/>
  <c r="R26" i="3"/>
  <c r="U25" i="3"/>
  <c r="O26" i="3"/>
  <c r="I26" i="3"/>
  <c r="L26" i="3"/>
  <c r="C26" i="3"/>
  <c r="F26" i="3"/>
  <c r="B26" i="3"/>
  <c r="X24" i="3"/>
  <c r="W24" i="3"/>
  <c r="W25" i="6"/>
  <c r="X25" i="6"/>
  <c r="U26" i="6"/>
  <c r="R27" i="6"/>
  <c r="C27" i="6"/>
  <c r="B27" i="6"/>
  <c r="H27" i="6" l="1"/>
  <c r="D26" i="3"/>
  <c r="E26" i="3"/>
  <c r="J27" i="6"/>
  <c r="K27" i="6"/>
  <c r="L28" i="6"/>
  <c r="E27" i="6"/>
  <c r="D27" i="6"/>
  <c r="G26" i="3"/>
  <c r="H26" i="3"/>
  <c r="P27" i="6"/>
  <c r="Q27" i="6"/>
  <c r="J26" i="3"/>
  <c r="K26" i="3"/>
  <c r="O28" i="6"/>
  <c r="M27" i="6"/>
  <c r="N27" i="6"/>
  <c r="M26" i="3"/>
  <c r="N26" i="3"/>
  <c r="S26" i="3"/>
  <c r="T26" i="3"/>
  <c r="P26" i="3"/>
  <c r="Q26" i="3"/>
  <c r="S27" i="6"/>
  <c r="T27" i="6"/>
  <c r="I28" i="6"/>
  <c r="F28" i="6"/>
  <c r="O27" i="3"/>
  <c r="X25" i="3"/>
  <c r="U26" i="3"/>
  <c r="W25" i="3"/>
  <c r="B27" i="3"/>
  <c r="C27" i="3"/>
  <c r="I27" i="3"/>
  <c r="F27" i="3"/>
  <c r="L27" i="3"/>
  <c r="R27" i="3"/>
  <c r="R28" i="6"/>
  <c r="C28" i="6"/>
  <c r="B28" i="6"/>
  <c r="X26" i="6"/>
  <c r="U27" i="6"/>
  <c r="W26" i="6"/>
  <c r="M27" i="3" l="1"/>
  <c r="N27" i="3"/>
  <c r="G27" i="3"/>
  <c r="H27" i="3"/>
  <c r="J27" i="3"/>
  <c r="K27" i="3"/>
  <c r="P27" i="3"/>
  <c r="Q27" i="3"/>
  <c r="S27" i="3"/>
  <c r="T27" i="3"/>
  <c r="D27" i="3"/>
  <c r="E27" i="3"/>
  <c r="M28" i="6"/>
  <c r="N28" i="6"/>
  <c r="F29" i="6"/>
  <c r="E28" i="6"/>
  <c r="D28" i="6"/>
  <c r="O29" i="6"/>
  <c r="G28" i="6"/>
  <c r="H28" i="6"/>
  <c r="P28" i="6"/>
  <c r="Q28" i="6"/>
  <c r="S28" i="6"/>
  <c r="T28" i="6"/>
  <c r="J28" i="6"/>
  <c r="K28" i="6"/>
  <c r="L29" i="6"/>
  <c r="I29" i="6"/>
  <c r="U27" i="3"/>
  <c r="X26" i="3"/>
  <c r="R28" i="3"/>
  <c r="C28" i="3"/>
  <c r="F28" i="3"/>
  <c r="B28" i="3"/>
  <c r="L28" i="3"/>
  <c r="I28" i="3"/>
  <c r="W26" i="3"/>
  <c r="O28" i="3"/>
  <c r="C29" i="6"/>
  <c r="B29" i="6"/>
  <c r="R29" i="6"/>
  <c r="X27" i="6"/>
  <c r="W27" i="6"/>
  <c r="U28" i="6"/>
  <c r="F30" i="6" l="1"/>
  <c r="H30" i="6" s="1"/>
  <c r="H28" i="3"/>
  <c r="G28" i="3"/>
  <c r="M28" i="3"/>
  <c r="N28" i="3"/>
  <c r="K29" i="6"/>
  <c r="J29" i="6"/>
  <c r="J28" i="3"/>
  <c r="K28" i="3"/>
  <c r="N29" i="6"/>
  <c r="M29" i="6"/>
  <c r="H29" i="6"/>
  <c r="G29" i="6"/>
  <c r="Q29" i="6"/>
  <c r="P29" i="6"/>
  <c r="D29" i="6"/>
  <c r="E29" i="6"/>
  <c r="Q28" i="3"/>
  <c r="P28" i="3"/>
  <c r="E28" i="3"/>
  <c r="D28" i="3"/>
  <c r="T28" i="3"/>
  <c r="S28" i="3"/>
  <c r="T29" i="6"/>
  <c r="S29" i="6"/>
  <c r="L30" i="6"/>
  <c r="O30" i="6"/>
  <c r="I30" i="6"/>
  <c r="U28" i="3"/>
  <c r="I29" i="3"/>
  <c r="C29" i="3"/>
  <c r="F29" i="3"/>
  <c r="L29" i="3"/>
  <c r="B29" i="3"/>
  <c r="O29" i="3"/>
  <c r="W27" i="3"/>
  <c r="R29" i="3"/>
  <c r="X27" i="3"/>
  <c r="C30" i="6"/>
  <c r="B30" i="6"/>
  <c r="R30" i="6"/>
  <c r="X28" i="6"/>
  <c r="U29" i="6"/>
  <c r="W28" i="6"/>
  <c r="G30" i="6" l="1"/>
  <c r="F31" i="6"/>
  <c r="H31" i="6" s="1"/>
  <c r="D29" i="3"/>
  <c r="E29" i="3"/>
  <c r="G29" i="3"/>
  <c r="H29" i="3"/>
  <c r="D30" i="6"/>
  <c r="E30" i="6"/>
  <c r="T30" i="6"/>
  <c r="S30" i="6"/>
  <c r="N30" i="6"/>
  <c r="M30" i="6"/>
  <c r="P29" i="3"/>
  <c r="Q29" i="3"/>
  <c r="J29" i="3"/>
  <c r="K29" i="3"/>
  <c r="K30" i="6"/>
  <c r="J30" i="6"/>
  <c r="M29" i="3"/>
  <c r="N29" i="3"/>
  <c r="Q30" i="6"/>
  <c r="P30" i="6"/>
  <c r="S29" i="3"/>
  <c r="T29" i="3"/>
  <c r="L31" i="6"/>
  <c r="O31" i="6"/>
  <c r="I31" i="6"/>
  <c r="W28" i="3"/>
  <c r="X28" i="3"/>
  <c r="R30" i="3"/>
  <c r="O30" i="3"/>
  <c r="I30" i="3"/>
  <c r="C30" i="3"/>
  <c r="L30" i="3"/>
  <c r="B30" i="3"/>
  <c r="F30" i="3"/>
  <c r="U29" i="3"/>
  <c r="X29" i="6"/>
  <c r="U30" i="6"/>
  <c r="W29" i="6"/>
  <c r="R31" i="6"/>
  <c r="C31" i="6"/>
  <c r="B31" i="6"/>
  <c r="G31" i="6" l="1"/>
  <c r="G30" i="3"/>
  <c r="H30" i="3"/>
  <c r="P30" i="3"/>
  <c r="Q30" i="3"/>
  <c r="J30" i="3"/>
  <c r="K30" i="3"/>
  <c r="D31" i="6"/>
  <c r="E31" i="6"/>
  <c r="M30" i="3"/>
  <c r="N30" i="3"/>
  <c r="S30" i="3"/>
  <c r="T30" i="3"/>
  <c r="K31" i="6"/>
  <c r="J31" i="6"/>
  <c r="P31" i="6"/>
  <c r="Q31" i="6"/>
  <c r="D30" i="3"/>
  <c r="E30" i="3"/>
  <c r="T31" i="6"/>
  <c r="S31" i="6"/>
  <c r="F32" i="6"/>
  <c r="N31" i="6"/>
  <c r="M31" i="6"/>
  <c r="L32" i="6"/>
  <c r="O32" i="6"/>
  <c r="I32" i="6"/>
  <c r="W29" i="3"/>
  <c r="X29" i="3"/>
  <c r="R31" i="3"/>
  <c r="C31" i="3"/>
  <c r="B31" i="3"/>
  <c r="F31" i="3"/>
  <c r="I31" i="3"/>
  <c r="L31" i="3"/>
  <c r="O31" i="3"/>
  <c r="U30" i="3"/>
  <c r="X30" i="6"/>
  <c r="W30" i="6"/>
  <c r="U31" i="6"/>
  <c r="R32" i="6"/>
  <c r="C32" i="6"/>
  <c r="B32" i="6"/>
  <c r="J31" i="3" l="1"/>
  <c r="K31" i="3"/>
  <c r="M31" i="3"/>
  <c r="N31" i="3"/>
  <c r="M32" i="6"/>
  <c r="N32" i="6"/>
  <c r="G31" i="3"/>
  <c r="H31" i="3"/>
  <c r="T32" i="6"/>
  <c r="S32" i="6"/>
  <c r="D32" i="6"/>
  <c r="E32" i="6"/>
  <c r="F33" i="6"/>
  <c r="P31" i="3"/>
  <c r="Q31" i="3"/>
  <c r="S31" i="3"/>
  <c r="T31" i="3"/>
  <c r="H32" i="6"/>
  <c r="G32" i="6"/>
  <c r="D31" i="3"/>
  <c r="E31" i="3"/>
  <c r="L33" i="6"/>
  <c r="K32" i="6"/>
  <c r="J32" i="6"/>
  <c r="P32" i="6"/>
  <c r="Q32" i="6"/>
  <c r="O33" i="6"/>
  <c r="I33" i="6"/>
  <c r="O32" i="3"/>
  <c r="W30" i="3"/>
  <c r="X30" i="3"/>
  <c r="F32" i="3"/>
  <c r="B32" i="3"/>
  <c r="I32" i="3"/>
  <c r="L32" i="3"/>
  <c r="C32" i="3"/>
  <c r="U31" i="3"/>
  <c r="R32" i="3"/>
  <c r="W31" i="6"/>
  <c r="U32" i="6"/>
  <c r="X31" i="6"/>
  <c r="R33" i="6"/>
  <c r="C33" i="6"/>
  <c r="B33" i="6"/>
  <c r="M32" i="3" l="1"/>
  <c r="N32" i="3"/>
  <c r="J32" i="3"/>
  <c r="K32" i="3"/>
  <c r="G32" i="3"/>
  <c r="H32" i="3"/>
  <c r="D32" i="3"/>
  <c r="E32" i="3"/>
  <c r="K33" i="6"/>
  <c r="J33" i="6"/>
  <c r="Q33" i="6"/>
  <c r="P33" i="6"/>
  <c r="P32" i="3"/>
  <c r="Q32" i="3"/>
  <c r="S32" i="3"/>
  <c r="T32" i="3"/>
  <c r="N33" i="6"/>
  <c r="M33" i="6"/>
  <c r="E33" i="6"/>
  <c r="D33" i="6"/>
  <c r="T33" i="6"/>
  <c r="S33" i="6"/>
  <c r="H33" i="6"/>
  <c r="G33" i="6"/>
  <c r="W32" i="6"/>
  <c r="W31" i="3"/>
  <c r="R33" i="3"/>
  <c r="O33" i="3"/>
  <c r="U32" i="3"/>
  <c r="X31" i="3"/>
  <c r="F33" i="3"/>
  <c r="L33" i="3"/>
  <c r="B33" i="3"/>
  <c r="I33" i="3"/>
  <c r="C33" i="3"/>
  <c r="X32" i="6"/>
  <c r="U33" i="6"/>
  <c r="J33" i="3" l="1"/>
  <c r="K33" i="3"/>
  <c r="G33" i="3"/>
  <c r="H33" i="3"/>
  <c r="D33" i="3"/>
  <c r="E33" i="3"/>
  <c r="P33" i="3"/>
  <c r="Q33" i="3"/>
  <c r="M33" i="3"/>
  <c r="N33" i="3"/>
  <c r="S33" i="3"/>
  <c r="T33" i="3"/>
  <c r="X32" i="3"/>
  <c r="W32" i="3"/>
  <c r="U33" i="3"/>
  <c r="W33" i="6"/>
  <c r="W34" i="6" s="1"/>
  <c r="X33" i="6"/>
  <c r="X34" i="6" s="1"/>
  <c r="C9" i="10" l="1"/>
  <c r="C5" i="10"/>
  <c r="J21" i="1"/>
  <c r="J17" i="1"/>
  <c r="E5" i="4"/>
  <c r="D5" i="4"/>
  <c r="W33" i="3"/>
  <c r="W34" i="3" s="1"/>
  <c r="X33" i="3"/>
  <c r="X34" i="3" s="1"/>
  <c r="C8" i="10" l="1"/>
  <c r="J20" i="1"/>
  <c r="J16" i="1"/>
  <c r="D4" i="4"/>
  <c r="D17" i="4"/>
  <c r="E4" i="4"/>
  <c r="E17" i="4"/>
  <c r="E6" i="4"/>
  <c r="D6" i="4"/>
  <c r="F5" i="4"/>
  <c r="F17" i="4" l="1"/>
  <c r="F4" i="4"/>
  <c r="F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tc={214ABA1A-CE0A-E446-B19E-8F11BD115EBD}</author>
    <author>tc={13E2F207-3E0A-AF43-B404-DCBECB52B4DA}</author>
    <author>tc={B8C85DC4-1045-F54F-97D7-D46D15A15813}</author>
    <author>tc={920D4A3B-EE62-6147-B79E-6A96D806CA7D}</author>
    <author>tc={B0F235B5-D5AD-354D-BF69-568ADAED679E}</author>
    <author>tc={A9B29AFB-8188-FC4E-B689-D9E16723785A}</author>
    <author>tc={646DA126-87FB-C24B-B78B-8221D12D64B0}</author>
    <author>tc={6532F39A-9A04-9146-B89A-DFCF4DB83267}</author>
    <author>tc={89B59A91-F985-8A4A-8BFF-47EFC2F2774E}</author>
  </authors>
  <commentList>
    <comment ref="O1" authorId="0" shapeId="0" xr:uid="{214ABA1A-CE0A-E446-B19E-8F11BD115EBD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13E2F207-3E0A-AF43-B404-DCBECB52B4DA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8C85DC4-1045-F54F-97D7-D46D15A158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20D4A3B-EE62-6147-B79E-6A96D806CA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B0F235B5-D5AD-354D-BF69-568ADAED679E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A9B29AFB-8188-FC4E-B689-D9E16723785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646DA126-87FB-C24B-B78B-8221D12D64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6532F39A-9A04-9146-B89A-DFCF4DB83267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89B59A91-F985-8A4A-8BFF-47EFC2F2774E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tc={B5F2D97F-0054-934B-9623-64F468E51495}</author>
    <author>tc={70BF3488-AB96-7B45-89A2-F5A19B4799EC}</author>
    <author>tc={CEE95008-1C12-2D42-BDC4-9496B59C808A}</author>
    <author>tc={99B586DE-FE40-504D-8C89-8154561726A3}</author>
    <author>tc={817C0A11-5CA7-E047-B500-05EBC9CC19FC}</author>
    <author>tc={C2B9D41A-5C9E-2844-99D6-6EA58722C2B5}</author>
    <author>tc={7E3055AE-2441-044F-AE29-AE215E257B6B}</author>
    <author>tc={76FDF45E-118C-824C-9782-4E7496E74369}</author>
    <author>tc={62424B44-BC7D-4D4F-B6A8-5DE171AB1891}</author>
  </authors>
  <commentList>
    <comment ref="O1" authorId="0" shapeId="0" xr:uid="{B5F2D97F-0054-934B-9623-64F468E51495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70BF3488-AB96-7B45-89A2-F5A19B4799E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CEE95008-1C12-2D42-BDC4-9496B59C80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99B586DE-FE40-504D-8C89-8154561726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817C0A11-5CA7-E047-B500-05EBC9CC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B9D41A-5C9E-2844-99D6-6EA58722C2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7E3055AE-2441-044F-AE29-AE215E257B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76FDF45E-118C-824C-9782-4E7496E74369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2424B44-BC7D-4D4F-B6A8-5DE171AB1891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tc={9C9C2E77-7C3B-2745-A163-300DEF234BD4}</author>
    <author>tc={E3698469-7063-004C-B272-B2150DFA234F}</author>
    <author>tc={BF061D60-8917-DF4A-B718-4922F2755DD4}</author>
    <author>tc={EC6F8FDB-A346-5D4F-8A4A-8529D9EFD481}</author>
    <author>tc={FD4DC96B-9DF6-644F-9C07-DFF554E6004A}</author>
    <author>tc={C2CB2625-68C3-4B42-A02B-0DC09209EAEE}</author>
    <author>tc={3EC12DA1-3300-3641-A973-1731B508E4E0}</author>
    <author>tc={FE779CE5-7FA6-5146-86AD-D60DECC8C5DC}</author>
    <author>tc={F7CE99EA-87FD-7941-8866-2638B34C5DC0}</author>
  </authors>
  <commentList>
    <comment ref="O1" authorId="0" shapeId="0" xr:uid="{9C9C2E77-7C3B-2745-A163-300DEF234BD4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3698469-7063-004C-B272-B2150DFA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BF061D60-8917-DF4A-B718-4922F2755DD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EC6F8FDB-A346-5D4F-8A4A-8529D9EFD48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FD4DC96B-9DF6-644F-9C07-DFF554E6004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C2CB2625-68C3-4B42-A02B-0DC09209EA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3EC12DA1-3300-3641-A973-1731B508E4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E779CE5-7FA6-5146-86AD-D60DECC8C5DC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F7CE99EA-87FD-7941-8866-2638B34C5DC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tc={4D5EBB8C-15B6-3E44-91BE-607E64FF9A61}</author>
    <author>tc={EA836A97-EFD3-9047-B5F9-4C01BA94F810}</author>
    <author>tc={E38611E2-A605-8945-B5A0-A570097B032D}</author>
    <author>tc={7B0E80BB-9FF6-5341-AA6D-DE49E731C6E0}</author>
    <author>tc={275F5540-89B1-B148-848F-7795AB76261A}</author>
    <author>tc={021D8822-FD1C-094E-B356-3ECFF24C9C72}</author>
    <author>tc={1714EE46-FA92-D140-9725-D702FA3721F5}</author>
    <author>tc={F776CFC1-4CD7-AD4C-94E3-30A4422CAB48}</author>
    <author>tc={6DDC40EE-DDA3-D744-8553-19492D741AAB}</author>
  </authors>
  <commentList>
    <comment ref="O1" authorId="0" shapeId="0" xr:uid="{4D5EBB8C-15B6-3E44-91BE-607E64FF9A61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 COST_PAYOFF)</t>
      </text>
    </comment>
    <comment ref="Q1" authorId="1" shapeId="0" xr:uid="{EA836A97-EFD3-9047-B5F9-4C01BA94F810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MMULT(TRACE,QALY_PAYOFF)</t>
      </text>
    </comment>
    <comment ref="S1" authorId="2" shapeId="0" xr:uid="{E38611E2-A605-8945-B5A0-A570097B032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/ (1 + d_r)^cycle, where d_r is the appropriate discount rate (e.g., 0.03) and cycle is the cycle number
</t>
      </text>
    </comment>
    <comment ref="V1" authorId="3" shapeId="0" xr:uid="{7B0E80BB-9FF6-5341-AA6D-DE49E731C6E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1/3 in the first and last cycle.
Alternate 2/3, then 4/3 in-between. </t>
      </text>
    </comment>
    <comment ref="X1" authorId="4" shapeId="0" xr:uid="{275F5540-89B1-B148-848F-7795AB76261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Costs * Cycle Adjustment</t>
      </text>
    </comment>
    <comment ref="Y1" authorId="5" shapeId="0" xr:uid="{021D8822-FD1C-094E-B356-3ECFF24C9C7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Total QALYs * Cycle Adjustment
</t>
      </text>
    </comment>
    <comment ref="AA2" authorId="6" shapeId="0" xr:uid="{1714EE46-FA92-D140-9725-D702FA3721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MMULT(TRANSPOSE(cost_adjustment),total costs)
</t>
      </text>
    </comment>
    <comment ref="AA3" authorId="7" shapeId="0" xr:uid="{F776CFC1-4CD7-AD4C-94E3-30A4422CAB48}">
      <text>
        <t>[Threaded comment]
Your version of Excel allows you to read this threaded comment; however, any edits to it will get removed if the file is opened in a newer version of Excel. Learn more: https://go.microsoft.com/fwlink/?linkid=870924
Comment:
    MMULT(TRANSPOSE(qaly_adjustment),total qualms)</t>
      </text>
    </comment>
    <comment ref="AB3" authorId="8" shapeId="0" xr:uid="{6DDC40EE-DDA3-D744-8553-19492D741AA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include the cycle 0(333), while the original one didn’t include. Can just delete the cycle0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<sst xmlns="http://schemas.openxmlformats.org/spreadsheetml/2006/main" count="721" uniqueCount="265">
  <si>
    <t>Description</t>
  </si>
  <si>
    <t>Value</t>
  </si>
  <si>
    <t>Variable name</t>
  </si>
  <si>
    <t>Cycle</t>
  </si>
  <si>
    <t>N</t>
  </si>
  <si>
    <t>Cost</t>
  </si>
  <si>
    <t>Utility</t>
  </si>
  <si>
    <t>Healthy</t>
  </si>
  <si>
    <t>Stage 1</t>
  </si>
  <si>
    <t>Stage 2</t>
  </si>
  <si>
    <t>Stage 3</t>
  </si>
  <si>
    <t>Remission</t>
  </si>
  <si>
    <t>Death</t>
  </si>
  <si>
    <t>Trace</t>
  </si>
  <si>
    <t>Cost per cycle</t>
  </si>
  <si>
    <t>Utility per cycle</t>
  </si>
  <si>
    <t>Alternative</t>
  </si>
  <si>
    <t>Total Cost</t>
  </si>
  <si>
    <t>Incremental Cost</t>
  </si>
  <si>
    <t>ICER</t>
  </si>
  <si>
    <t>-</t>
  </si>
  <si>
    <t>Total Utility</t>
  </si>
  <si>
    <t>Incremental Utility</t>
  </si>
  <si>
    <t>Status quo</t>
  </si>
  <si>
    <t>Population size</t>
  </si>
  <si>
    <t>nPop</t>
  </si>
  <si>
    <t>Probability of transition from Healthy to Stage 1</t>
  </si>
  <si>
    <t>pHealthyStage1</t>
  </si>
  <si>
    <t>Probability of transition from Healthy to Stage 2</t>
  </si>
  <si>
    <t>Probability of transition from Healthy to Stage 3</t>
  </si>
  <si>
    <t>pHealthyStage2</t>
  </si>
  <si>
    <t>pHealthyStage3</t>
  </si>
  <si>
    <t>Probability of transition from Stage 1 to Stage 2</t>
  </si>
  <si>
    <t>Probability of transition from Stage 1 to Remission</t>
  </si>
  <si>
    <t>pStage1Stage2</t>
  </si>
  <si>
    <t>pStage1Remission</t>
  </si>
  <si>
    <t>Probability of transition from Stage 2 to Stage 1</t>
  </si>
  <si>
    <t>Probability of transition from Stage 2 to Stage 3</t>
  </si>
  <si>
    <t>Probability of transition from Stage 2 to Remission</t>
  </si>
  <si>
    <t>pStage2Stage1</t>
  </si>
  <si>
    <t>pStage2Stage3</t>
  </si>
  <si>
    <t>pStage2Remission</t>
  </si>
  <si>
    <t>Probability of transition from Stage 3 to Stage 2</t>
  </si>
  <si>
    <t>Probability of transition from Stage 3 to Death</t>
  </si>
  <si>
    <t>pStage3Stage2</t>
  </si>
  <si>
    <t>pStage3Death</t>
  </si>
  <si>
    <t>Probability of transition from Remission to Stage 1</t>
  </si>
  <si>
    <t>Probability of transition from Remission to Stage 2</t>
  </si>
  <si>
    <t>pRemissionStage1</t>
  </si>
  <si>
    <t>pRemissionStage2</t>
  </si>
  <si>
    <t>Number of visits per cycle in Stage 1</t>
  </si>
  <si>
    <t>Number of visits per cycle in Stage 2</t>
  </si>
  <si>
    <t>Number of visits per cycle in Stage 3</t>
  </si>
  <si>
    <t>Number of visits per cycle in Remission</t>
  </si>
  <si>
    <t>Cost of treatment per cycle in Stage 1</t>
  </si>
  <si>
    <t>Cost of treatment per cycle in Stage 2</t>
  </si>
  <si>
    <t>Cost of treatment per cycle in Stage 3</t>
  </si>
  <si>
    <t>Cost of treatment per cycle in Remission</t>
  </si>
  <si>
    <t>nVisitsStage1</t>
  </si>
  <si>
    <t>nVisitsStage2</t>
  </si>
  <si>
    <t>nVisitsStage3</t>
  </si>
  <si>
    <t>nVisitsRemission</t>
  </si>
  <si>
    <t>cTreatmentStage1</t>
  </si>
  <si>
    <t>cTreatmentStage2</t>
  </si>
  <si>
    <t>cTreatmentStage3</t>
  </si>
  <si>
    <t>Cost of visit</t>
  </si>
  <si>
    <t>cVisit</t>
  </si>
  <si>
    <t>cTreatmentRemission</t>
  </si>
  <si>
    <t>Utility of Healthy per cycle</t>
  </si>
  <si>
    <t>Utility of Stage 1 per cycle</t>
  </si>
  <si>
    <t>Utility of Stage 2 per cycle</t>
  </si>
  <si>
    <t>Utility of Stage 3 per cycle</t>
  </si>
  <si>
    <t>Utility of Remission per cycle</t>
  </si>
  <si>
    <t>uHealthy</t>
  </si>
  <si>
    <t>uRemission</t>
  </si>
  <si>
    <t>uStage1</t>
  </si>
  <si>
    <t>uStage2</t>
  </si>
  <si>
    <t>uStage3</t>
  </si>
  <si>
    <t>Annual discount rate</t>
  </si>
  <si>
    <t>discount_rate</t>
  </si>
  <si>
    <t>TOTAL</t>
  </si>
  <si>
    <t>Category</t>
  </si>
  <si>
    <t>Other</t>
  </si>
  <si>
    <t>Probabilities</t>
  </si>
  <si>
    <t>Utilities</t>
  </si>
  <si>
    <t>Population alive</t>
  </si>
  <si>
    <t>pRemissionStage1_trtA</t>
  </si>
  <si>
    <t>pRemissionStage2_trtA</t>
  </si>
  <si>
    <t>pRemissionStage1_trtB</t>
  </si>
  <si>
    <t>pRemissionStage2_trtB</t>
  </si>
  <si>
    <t>Lower bound</t>
  </si>
  <si>
    <t>Upper bound</t>
  </si>
  <si>
    <t>pRemissionStage1_trtC</t>
  </si>
  <si>
    <t>pRemissionStage2_trtC</t>
  </si>
  <si>
    <t>Probability of transition from Remission to Stage 1 when on Treatment A</t>
  </si>
  <si>
    <t>Probability of transition from Remission to Stage 2 when on Treatment B</t>
  </si>
  <si>
    <t>Probability of transition from Remission to Stage 2 when on Treatment A</t>
  </si>
  <si>
    <t>Probability of transition from Remission to Stage 1 when on Treatment B</t>
  </si>
  <si>
    <t>Probability of transition from Remission to Stage 1 when on Treatment C</t>
  </si>
  <si>
    <t>Probability of transition from Remission to Stage 2 when on Treatment C</t>
  </si>
  <si>
    <t>cost</t>
  </si>
  <si>
    <t>cTrtA</t>
  </si>
  <si>
    <t>cTrtB</t>
  </si>
  <si>
    <t>cTrtC</t>
  </si>
  <si>
    <t>Rates</t>
  </si>
  <si>
    <t>Rate of transition from Health to Stage 1</t>
  </si>
  <si>
    <t>Rate of transition from Health to Stage 2</t>
  </si>
  <si>
    <t>Rate of transition from Health to Stage 3</t>
  </si>
  <si>
    <t>Rate of transition from Stage 1 to Stage 2</t>
  </si>
  <si>
    <t>Rate of transition from Stage 1 to Remission</t>
  </si>
  <si>
    <t>Rate of transition from Stage 2 to Remission</t>
  </si>
  <si>
    <t>Rate of transition from Stage 2 to Stage 1</t>
  </si>
  <si>
    <t>Rate of transition from Stage 2 to Stage 3</t>
  </si>
  <si>
    <t>Rate of transition from Stage 3 to Stage 2</t>
  </si>
  <si>
    <t>Rate of transition from Stage 3 to Death</t>
  </si>
  <si>
    <t>Increase in transition rate from Remission to Stage 1 (Hazard Rate Treatment A)</t>
  </si>
  <si>
    <t>Increase in transition rate from Remission to Stage 2 (Hazard Rate Treatment A)</t>
  </si>
  <si>
    <t>Increase in transition rate from Remission to Stage 1 (Hazard Rate Treatment B)</t>
  </si>
  <si>
    <t>Increase in transition rate from Remission to Stage 2 (Hazard Rate Treatment B)</t>
  </si>
  <si>
    <t>Increase in transition rate from Remission to Stage 1 (Hazard Rate Treatment C)</t>
  </si>
  <si>
    <t>Increase in transition rate from Remission to Stage 2 (Hazard Rate Treatment C)</t>
  </si>
  <si>
    <t>rHealthyStage1</t>
  </si>
  <si>
    <t>rHealthyStage2</t>
  </si>
  <si>
    <t>rHealthyStage3</t>
  </si>
  <si>
    <t>rStage1Stage2</t>
  </si>
  <si>
    <t>rStage1Remission</t>
  </si>
  <si>
    <t>rStage2Stage1</t>
  </si>
  <si>
    <t>rStage2Stage3</t>
  </si>
  <si>
    <t>rStage2Remission</t>
  </si>
  <si>
    <t>rStage3Stage2</t>
  </si>
  <si>
    <t>rStage3Death</t>
  </si>
  <si>
    <t>hrRemissionStage1_trtA</t>
  </si>
  <si>
    <t>hrRemissionStage2_trtA</t>
  </si>
  <si>
    <t>hrRemissionStage1_trtB</t>
  </si>
  <si>
    <t>hrRemissionStage2_trtB</t>
  </si>
  <si>
    <t>hrRemissionStage2_trtC</t>
  </si>
  <si>
    <t>hrRemissionStage1_trtC</t>
  </si>
  <si>
    <t>Weight for Simpson's rule</t>
  </si>
  <si>
    <t>Formula</t>
  </si>
  <si>
    <t>Cost of Treatment A for Remission per cycle</t>
  </si>
  <si>
    <t>Cost of Treatment B for Remission per cycle</t>
  </si>
  <si>
    <t>Cost of Treatment C for Remission per cycle</t>
  </si>
  <si>
    <t>Treatment A</t>
  </si>
  <si>
    <t>Treatment B</t>
  </si>
  <si>
    <t>Treatment C</t>
  </si>
  <si>
    <t>Initial ICERS: Sort strategies by cost (least costly first, most costly last)</t>
  </si>
  <si>
    <t>Remaining strategies when strictly dominated strategies are removed</t>
  </si>
  <si>
    <t>Status</t>
  </si>
  <si>
    <t>Dominated</t>
  </si>
  <si>
    <t>Final ICERs after all weakly dominated strategies are removed</t>
  </si>
  <si>
    <t>Weakly Dominated</t>
  </si>
  <si>
    <t>lower</t>
  </si>
  <si>
    <t>upper</t>
  </si>
  <si>
    <t>NMB</t>
  </si>
  <si>
    <t>willing to pay</t>
  </si>
  <si>
    <t>wtp</t>
  </si>
  <si>
    <t>range</t>
  </si>
  <si>
    <t>Make a tornado plot for the NMB</t>
  </si>
  <si>
    <t>Make a tornado plot for the ICER</t>
  </si>
  <si>
    <t>Step 0: FILL OUT THIS SECTION</t>
  </si>
  <si>
    <t>Option 1. Rate-to-Probability Conversion Formulas</t>
  </si>
  <si>
    <t>Option 2. Embedded from Rate Matrix. Note: THESE CELLS WILL CALCULATE AUTOMATICALLY</t>
  </si>
  <si>
    <t xml:space="preserve">Option 2 Inputs: FILL OUT THIS SECTION </t>
  </si>
  <si>
    <t>Transition Rate Matrix</t>
  </si>
  <si>
    <t xml:space="preserve">Transition Probability Matrix </t>
  </si>
  <si>
    <t>Binary Matrix (No Need to Edit)</t>
  </si>
  <si>
    <t>Rate Matrix ^ 1</t>
  </si>
  <si>
    <t>Rate Matrix ^2</t>
  </si>
  <si>
    <t>Rate Matrix ^3</t>
  </si>
  <si>
    <t>Rate Matrix ^4</t>
  </si>
  <si>
    <t>strategy</t>
  </si>
  <si>
    <t>from</t>
  </si>
  <si>
    <t>A</t>
  </si>
  <si>
    <t>m_P_trtA</t>
  </si>
  <si>
    <t>B</t>
  </si>
  <si>
    <t>m_P_trtB</t>
  </si>
  <si>
    <t>C</t>
  </si>
  <si>
    <t>m_P_trtC</t>
  </si>
  <si>
    <t>Rate of transition from Remission to Stage 1</t>
  </si>
  <si>
    <t>Rate of transition from Remission to Stage 2</t>
  </si>
  <si>
    <t>rRemissionStage1</t>
  </si>
  <si>
    <t>rRemissionStage2</t>
  </si>
  <si>
    <t>m_P_quo</t>
  </si>
  <si>
    <t>m_P_quo_matrixExp</t>
  </si>
  <si>
    <t>m_P_trtA_matrixExp</t>
  </si>
  <si>
    <t>m_P_trtB_matrixExp</t>
  </si>
  <si>
    <t>m_P_trtC_matrixExp</t>
  </si>
  <si>
    <t>Payoffs</t>
  </si>
  <si>
    <t>Strategy</t>
  </si>
  <si>
    <t>costs_trtA</t>
  </si>
  <si>
    <t>qalys_trtA</t>
  </si>
  <si>
    <t>costs_quo</t>
  </si>
  <si>
    <t>qalys_quo</t>
  </si>
  <si>
    <t>Markov Trace</t>
  </si>
  <si>
    <t>Total Costs</t>
  </si>
  <si>
    <t>Total QALYs</t>
  </si>
  <si>
    <t>1. Discounting</t>
  </si>
  <si>
    <t>2. Cycle Adjustment</t>
  </si>
  <si>
    <t>3. Cost Adjustment
(1 * 2)</t>
  </si>
  <si>
    <t>4. QALY adjustment
(1 * 2)</t>
  </si>
  <si>
    <t>totcost_trtA</t>
  </si>
  <si>
    <t>cost_trtA</t>
  </si>
  <si>
    <t>qaly_trtA</t>
  </si>
  <si>
    <t>w_c_disc_trtA</t>
  </si>
  <si>
    <t>w_e_disc_trtA</t>
  </si>
  <si>
    <t>w_c_trtA</t>
  </si>
  <si>
    <t>w_e_trtA</t>
  </si>
  <si>
    <t>totqaly_trtA</t>
  </si>
  <si>
    <t>cost_quo</t>
  </si>
  <si>
    <t>qaly_quo</t>
  </si>
  <si>
    <t>w_c_disc_quo</t>
  </si>
  <si>
    <t>w_e_disc_quo</t>
  </si>
  <si>
    <t>cycle_adj</t>
  </si>
  <si>
    <t>w_c_quo</t>
  </si>
  <si>
    <t>w_e_quo</t>
  </si>
  <si>
    <t>totcost_quo</t>
  </si>
  <si>
    <t>totqaly_quo</t>
  </si>
  <si>
    <t>costs_trtB</t>
  </si>
  <si>
    <t>qalys_trtB</t>
  </si>
  <si>
    <t>cost_trtB</t>
  </si>
  <si>
    <t>qaly_trtB</t>
  </si>
  <si>
    <t>w_c_trtB</t>
  </si>
  <si>
    <t>w_e_trtB</t>
  </si>
  <si>
    <t>w_e_disc_trtB</t>
  </si>
  <si>
    <t>w_c_disc_trtB</t>
  </si>
  <si>
    <t>totcost_trtB</t>
  </si>
  <si>
    <t>totqaly_trtB</t>
  </si>
  <si>
    <t>costs_trtC</t>
  </si>
  <si>
    <t>qalys_trtC</t>
  </si>
  <si>
    <t>cost_trtC</t>
  </si>
  <si>
    <t>qaly_trtC</t>
  </si>
  <si>
    <t>w_c_disc_trtC</t>
  </si>
  <si>
    <t>w_e_disc_trtC</t>
  </si>
  <si>
    <t>w_c_trtC</t>
  </si>
  <si>
    <t>w_e_trtC</t>
  </si>
  <si>
    <t>Cycle length</t>
  </si>
  <si>
    <t>cycle_length</t>
  </si>
  <si>
    <t>n_cycles</t>
  </si>
  <si>
    <t>Cycle number</t>
  </si>
  <si>
    <t>Utility of Death per cycle</t>
  </si>
  <si>
    <t>uDeath</t>
  </si>
  <si>
    <t>trt A</t>
  </si>
  <si>
    <t>Option 2. Matrix Exponentiation Result from R</t>
  </si>
  <si>
    <t>m_P_quo_R</t>
  </si>
  <si>
    <t>m_P_trtA_R</t>
  </si>
  <si>
    <t>m_P_trtB_R</t>
  </si>
  <si>
    <t>m_P_trtC_R</t>
  </si>
  <si>
    <t>NMB = 0</t>
  </si>
  <si>
    <t>useGoalSeek</t>
  </si>
  <si>
    <t>Age (years)</t>
  </si>
  <si>
    <r>
      <t xml:space="preserve">Probability of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</si>
  <si>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Number surviving to age </t>
    </r>
    <r>
      <rPr>
        <i/>
        <sz val="11"/>
        <rFont val="Arial"/>
        <family val="2"/>
      </rPr>
      <t>x</t>
    </r>
  </si>
  <si>
    <r>
      <t xml:space="preserve">Number dying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</si>
  <si>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Person-years lived between ages 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and 
</t>
    </r>
    <r>
      <rPr>
        <i/>
        <sz val="11"/>
        <rFont val="Arial"/>
        <family val="2"/>
      </rPr>
      <t>x</t>
    </r>
    <r>
      <rPr>
        <sz val="11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</si>
  <si>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11"/>
        <rFont val="Arial"/>
        <family val="2"/>
      </rPr>
      <t>x</t>
    </r>
  </si>
  <si>
    <r>
      <t xml:space="preserve">Expectation of life at age </t>
    </r>
    <r>
      <rPr>
        <i/>
        <sz val="11"/>
        <rFont val="Arial"/>
        <family val="2"/>
      </rPr>
      <t>x</t>
    </r>
  </si>
  <si>
    <r>
      <t>q</t>
    </r>
    <r>
      <rPr>
        <i/>
        <vertAlign val="subscript"/>
        <sz val="11"/>
        <rFont val="Arial"/>
        <family val="2"/>
      </rPr>
      <t>x</t>
    </r>
  </si>
  <si>
    <r>
      <t>l</t>
    </r>
    <r>
      <rPr>
        <i/>
        <vertAlign val="subscript"/>
        <sz val="11"/>
        <rFont val="Arial"/>
        <family val="2"/>
      </rPr>
      <t>x</t>
    </r>
  </si>
  <si>
    <r>
      <t>d</t>
    </r>
    <r>
      <rPr>
        <i/>
        <vertAlign val="subscript"/>
        <sz val="11"/>
        <rFont val="Arial"/>
        <family val="2"/>
      </rPr>
      <t>x</t>
    </r>
  </si>
  <si>
    <r>
      <t>L</t>
    </r>
    <r>
      <rPr>
        <i/>
        <vertAlign val="subscript"/>
        <sz val="11"/>
        <rFont val="Arial"/>
        <family val="2"/>
      </rPr>
      <t>x</t>
    </r>
  </si>
  <si>
    <r>
      <t>T</t>
    </r>
    <r>
      <rPr>
        <i/>
        <vertAlign val="subscript"/>
        <sz val="11"/>
        <rFont val="Arial"/>
        <family val="2"/>
      </rPr>
      <t>x</t>
    </r>
  </si>
  <si>
    <r>
      <t>e</t>
    </r>
    <r>
      <rPr>
        <i/>
        <vertAlign val="subscript"/>
        <sz val="11"/>
        <rFont val="Arial"/>
        <family val="2"/>
      </rPr>
      <t>x</t>
    </r>
  </si>
  <si>
    <t>start as 45-yr male</t>
  </si>
  <si>
    <t>cancer Death(cumsum)</t>
  </si>
  <si>
    <t>background death(cumsum)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</si>
</sst>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.0_);_(* \(#,##0.0\);_(* &quot;-&quot;??_);_(@_)"/>
    <numFmt numFmtId="166" formatCode="_(* #,##0_);_(* \(#,##0\);_(* &quot;-&quot;??_);_(@_)"/>
    <numFmt numFmtId="167" formatCode="0.000"/>
    <numFmt numFmtId="168" formatCode="0.0000"/>
    <numFmt numFmtId="169" formatCode="0.00000"/>
    <numFmt numFmtId="170" formatCode="0.000000000000000"/>
    <numFmt numFmtId="171" formatCode="_(&quot;$&quot;* #,##0.0_);_(&quot;$&quot;* \(#,##0.0\);_(&quot;$&quot;* &quot;-&quot;??_);_(@_)"/>
    <numFmt numFmtId="172" formatCode="0.000000"/>
    <numFmt numFmtId="173" formatCode="0.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i/>
      <vertAlign val="subscript"/>
      <sz val="11"/>
      <name val="Arial"/>
      <family val="2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41">
    <xf numFmtId="0" fontId="0" fillId="0" borderId="0" xfId="0"/>
    <xf numFmtId="0" fontId="0" fillId="0" borderId="0" xfId="0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1" applyNumberFormat="1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66" fontId="0" fillId="0" borderId="14" xfId="1" applyNumberFormat="1" applyFont="1" applyBorder="1" applyAlignment="1">
      <alignment vertical="center"/>
    </xf>
    <xf numFmtId="166" fontId="0" fillId="0" borderId="15" xfId="1" applyNumberFormat="1" applyFont="1" applyBorder="1" applyAlignment="1">
      <alignment vertical="center"/>
    </xf>
    <xf numFmtId="166" fontId="0" fillId="0" borderId="5" xfId="1" applyNumberFormat="1" applyFont="1" applyBorder="1" applyAlignment="1">
      <alignment vertical="center"/>
    </xf>
    <xf numFmtId="166" fontId="0" fillId="0" borderId="17" xfId="1" applyNumberFormat="1" applyFont="1" applyBorder="1" applyAlignment="1">
      <alignment vertical="center"/>
    </xf>
    <xf numFmtId="166" fontId="0" fillId="0" borderId="8" xfId="1" applyNumberFormat="1" applyFont="1" applyBorder="1" applyAlignment="1">
      <alignment vertical="center"/>
    </xf>
    <xf numFmtId="166" fontId="0" fillId="0" borderId="6" xfId="1" applyNumberFormat="1" applyFont="1" applyBorder="1" applyAlignment="1">
      <alignment vertical="center"/>
    </xf>
    <xf numFmtId="166" fontId="0" fillId="0" borderId="7" xfId="1" applyNumberFormat="1" applyFont="1" applyBorder="1" applyAlignment="1">
      <alignment vertical="center"/>
    </xf>
    <xf numFmtId="166" fontId="0" fillId="0" borderId="0" xfId="1" applyNumberFormat="1" applyFont="1" applyBorder="1" applyAlignment="1">
      <alignment vertical="center"/>
    </xf>
    <xf numFmtId="165" fontId="0" fillId="0" borderId="18" xfId="1" applyNumberFormat="1" applyFont="1" applyBorder="1" applyAlignment="1">
      <alignment vertical="center"/>
    </xf>
    <xf numFmtId="166" fontId="0" fillId="0" borderId="9" xfId="1" applyNumberFormat="1" applyFont="1" applyBorder="1" applyAlignment="1">
      <alignment vertical="center"/>
    </xf>
    <xf numFmtId="165" fontId="0" fillId="0" borderId="10" xfId="1" applyNumberFormat="1" applyFont="1" applyBorder="1" applyAlignment="1">
      <alignment vertical="center"/>
    </xf>
    <xf numFmtId="166" fontId="0" fillId="0" borderId="18" xfId="1" applyNumberFormat="1" applyFont="1" applyBorder="1" applyAlignment="1">
      <alignment vertical="center"/>
    </xf>
    <xf numFmtId="166" fontId="0" fillId="0" borderId="10" xfId="1" applyNumberFormat="1" applyFont="1" applyBorder="1" applyAlignment="1">
      <alignment vertical="center"/>
    </xf>
    <xf numFmtId="165" fontId="0" fillId="0" borderId="15" xfId="1" applyNumberFormat="1" applyFont="1" applyBorder="1" applyAlignment="1">
      <alignment vertical="center"/>
    </xf>
    <xf numFmtId="43" fontId="0" fillId="0" borderId="5" xfId="1" applyFont="1" applyBorder="1" applyAlignment="1">
      <alignment vertical="center"/>
    </xf>
    <xf numFmtId="43" fontId="0" fillId="0" borderId="17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166" fontId="3" fillId="0" borderId="2" xfId="1" applyNumberFormat="1" applyFont="1" applyBorder="1" applyAlignment="1">
      <alignment vertical="center"/>
    </xf>
    <xf numFmtId="166" fontId="3" fillId="0" borderId="19" xfId="1" applyNumberFormat="1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8" xfId="0" applyBorder="1"/>
    <xf numFmtId="166" fontId="0" fillId="0" borderId="9" xfId="1" applyNumberFormat="1" applyFont="1" applyBorder="1"/>
    <xf numFmtId="0" fontId="3" fillId="0" borderId="20" xfId="0" applyFont="1" applyBorder="1" applyAlignment="1">
      <alignment horizontal="center" vertical="center"/>
    </xf>
    <xf numFmtId="166" fontId="0" fillId="0" borderId="6" xfId="1" applyNumberFormat="1" applyFont="1" applyBorder="1"/>
    <xf numFmtId="0" fontId="0" fillId="0" borderId="6" xfId="0" applyBorder="1" applyAlignment="1">
      <alignment vertical="center"/>
    </xf>
    <xf numFmtId="164" fontId="0" fillId="0" borderId="0" xfId="2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164" fontId="0" fillId="0" borderId="9" xfId="2" applyNumberFormat="1" applyFont="1" applyBorder="1" applyAlignment="1">
      <alignment vertical="center"/>
    </xf>
    <xf numFmtId="9" fontId="0" fillId="0" borderId="6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9" fontId="0" fillId="0" borderId="9" xfId="0" applyNumberFormat="1" applyBorder="1" applyAlignment="1">
      <alignment vertical="center"/>
    </xf>
    <xf numFmtId="164" fontId="0" fillId="0" borderId="6" xfId="2" applyNumberFormat="1" applyFont="1" applyBorder="1"/>
    <xf numFmtId="164" fontId="0" fillId="0" borderId="9" xfId="2" applyNumberFormat="1" applyFont="1" applyBorder="1"/>
    <xf numFmtId="1" fontId="0" fillId="0" borderId="5" xfId="1" applyNumberFormat="1" applyFont="1" applyBorder="1" applyAlignment="1">
      <alignment vertical="center"/>
    </xf>
    <xf numFmtId="1" fontId="0" fillId="0" borderId="17" xfId="1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6" fontId="0" fillId="0" borderId="23" xfId="1" applyNumberFormat="1" applyFont="1" applyBorder="1" applyAlignment="1">
      <alignment vertical="center"/>
    </xf>
    <xf numFmtId="0" fontId="3" fillId="0" borderId="2" xfId="1" applyNumberFormat="1" applyFont="1" applyBorder="1" applyAlignment="1">
      <alignment vertical="center"/>
    </xf>
    <xf numFmtId="167" fontId="0" fillId="0" borderId="17" xfId="1" applyNumberFormat="1" applyFont="1" applyBorder="1" applyAlignment="1">
      <alignment vertical="center"/>
    </xf>
    <xf numFmtId="167" fontId="0" fillId="0" borderId="5" xfId="1" applyNumberFormat="1" applyFont="1" applyBorder="1" applyAlignment="1">
      <alignment vertical="center"/>
    </xf>
    <xf numFmtId="0" fontId="0" fillId="0" borderId="17" xfId="0" applyBorder="1"/>
    <xf numFmtId="164" fontId="0" fillId="0" borderId="0" xfId="2" applyNumberFormat="1" applyFont="1" applyBorder="1"/>
    <xf numFmtId="166" fontId="0" fillId="0" borderId="0" xfId="1" applyNumberFormat="1" applyFont="1" applyBorder="1"/>
    <xf numFmtId="166" fontId="0" fillId="0" borderId="24" xfId="1" applyNumberFormat="1" applyFont="1" applyBorder="1" applyAlignment="1">
      <alignment horizontal="right"/>
    </xf>
    <xf numFmtId="0" fontId="5" fillId="8" borderId="0" xfId="0" applyFont="1" applyFill="1"/>
    <xf numFmtId="0" fontId="0" fillId="8" borderId="0" xfId="0" applyFill="1"/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166" fontId="0" fillId="0" borderId="25" xfId="1" applyNumberFormat="1" applyFont="1" applyBorder="1"/>
    <xf numFmtId="0" fontId="0" fillId="9" borderId="4" xfId="0" applyFill="1" applyBorder="1"/>
    <xf numFmtId="164" fontId="0" fillId="8" borderId="11" xfId="2" applyNumberFormat="1" applyFont="1" applyFill="1" applyBorder="1"/>
    <xf numFmtId="164" fontId="0" fillId="8" borderId="26" xfId="2" applyNumberFormat="1" applyFont="1" applyFill="1" applyBorder="1"/>
    <xf numFmtId="164" fontId="0" fillId="8" borderId="27" xfId="2" applyNumberFormat="1" applyFont="1" applyFill="1" applyBorder="1"/>
    <xf numFmtId="164" fontId="0" fillId="8" borderId="28" xfId="2" applyNumberFormat="1" applyFont="1" applyFill="1" applyBorder="1"/>
    <xf numFmtId="164" fontId="0" fillId="8" borderId="29" xfId="2" applyNumberFormat="1" applyFont="1" applyFill="1" applyBorder="1"/>
    <xf numFmtId="9" fontId="0" fillId="0" borderId="30" xfId="0" applyNumberFormat="1" applyBorder="1" applyAlignment="1">
      <alignment vertical="center"/>
    </xf>
    <xf numFmtId="9" fontId="0" fillId="0" borderId="0" xfId="0" applyNumberFormat="1"/>
    <xf numFmtId="0" fontId="1" fillId="8" borderId="0" xfId="3" applyFill="1"/>
    <xf numFmtId="164" fontId="0" fillId="8" borderId="29" xfId="4" applyNumberFormat="1" applyFont="1" applyFill="1" applyBorder="1"/>
    <xf numFmtId="164" fontId="0" fillId="8" borderId="28" xfId="4" applyNumberFormat="1" applyFont="1" applyFill="1" applyBorder="1"/>
    <xf numFmtId="0" fontId="1" fillId="9" borderId="4" xfId="3" applyFill="1" applyBorder="1"/>
    <xf numFmtId="167" fontId="1" fillId="8" borderId="0" xfId="3" applyNumberFormat="1" applyFill="1"/>
    <xf numFmtId="164" fontId="1" fillId="8" borderId="0" xfId="3" applyNumberFormat="1" applyFill="1"/>
    <xf numFmtId="9" fontId="4" fillId="0" borderId="0" xfId="0" applyNumberFormat="1" applyFont="1" applyAlignment="1">
      <alignment vertical="center"/>
    </xf>
    <xf numFmtId="168" fontId="0" fillId="0" borderId="6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0" fontId="0" fillId="8" borderId="0" xfId="0" applyFill="1" applyAlignment="1">
      <alignment wrapText="1"/>
    </xf>
    <xf numFmtId="0" fontId="8" fillId="9" borderId="32" xfId="0" applyFont="1" applyFill="1" applyBorder="1"/>
    <xf numFmtId="0" fontId="7" fillId="9" borderId="2" xfId="0" applyFont="1" applyFill="1" applyBorder="1"/>
    <xf numFmtId="0" fontId="7" fillId="9" borderId="19" xfId="0" applyFont="1" applyFill="1" applyBorder="1"/>
    <xf numFmtId="0" fontId="0" fillId="8" borderId="34" xfId="0" applyFill="1" applyBorder="1" applyAlignment="1">
      <alignment wrapText="1"/>
    </xf>
    <xf numFmtId="0" fontId="5" fillId="8" borderId="9" xfId="0" applyFont="1" applyFill="1" applyBorder="1"/>
    <xf numFmtId="0" fontId="0" fillId="8" borderId="9" xfId="0" applyFill="1" applyBorder="1"/>
    <xf numFmtId="0" fontId="5" fillId="8" borderId="33" xfId="0" applyFont="1" applyFill="1" applyBorder="1"/>
    <xf numFmtId="0" fontId="0" fillId="8" borderId="25" xfId="0" applyFill="1" applyBorder="1"/>
    <xf numFmtId="49" fontId="5" fillId="8" borderId="9" xfId="0" applyNumberFormat="1" applyFont="1" applyFill="1" applyBorder="1"/>
    <xf numFmtId="49" fontId="5" fillId="8" borderId="33" xfId="0" applyNumberFormat="1" applyFont="1" applyFill="1" applyBorder="1"/>
    <xf numFmtId="0" fontId="5" fillId="8" borderId="9" xfId="0" applyFont="1" applyFill="1" applyBorder="1" applyAlignment="1">
      <alignment wrapText="1"/>
    </xf>
    <xf numFmtId="0" fontId="5" fillId="8" borderId="35" xfId="0" applyFont="1" applyFill="1" applyBorder="1" applyAlignment="1">
      <alignment wrapText="1"/>
    </xf>
    <xf numFmtId="49" fontId="5" fillId="8" borderId="0" xfId="0" applyNumberFormat="1" applyFont="1" applyFill="1" applyAlignment="1">
      <alignment wrapText="1"/>
    </xf>
    <xf numFmtId="49" fontId="5" fillId="8" borderId="34" xfId="0" applyNumberFormat="1" applyFont="1" applyFill="1" applyBorder="1" applyAlignment="1">
      <alignment wrapText="1"/>
    </xf>
    <xf numFmtId="170" fontId="0" fillId="8" borderId="0" xfId="0" applyNumberFormat="1" applyFill="1"/>
    <xf numFmtId="0" fontId="0" fillId="8" borderId="34" xfId="0" applyFill="1" applyBorder="1"/>
    <xf numFmtId="0" fontId="0" fillId="8" borderId="35" xfId="0" applyFill="1" applyBorder="1"/>
    <xf numFmtId="49" fontId="0" fillId="8" borderId="0" xfId="0" applyNumberFormat="1" applyFill="1"/>
    <xf numFmtId="49" fontId="0" fillId="8" borderId="34" xfId="0" applyNumberFormat="1" applyFill="1" applyBorder="1" applyAlignment="1">
      <alignment horizontal="right"/>
    </xf>
    <xf numFmtId="0" fontId="0" fillId="10" borderId="4" xfId="0" applyFill="1" applyBorder="1"/>
    <xf numFmtId="0" fontId="0" fillId="11" borderId="4" xfId="0" applyFill="1" applyBorder="1"/>
    <xf numFmtId="0" fontId="0" fillId="11" borderId="36" xfId="0" applyFill="1" applyBorder="1"/>
    <xf numFmtId="49" fontId="0" fillId="8" borderId="0" xfId="0" applyNumberFormat="1" applyFill="1" applyAlignment="1">
      <alignment wrapText="1"/>
    </xf>
    <xf numFmtId="49" fontId="0" fillId="8" borderId="34" xfId="0" applyNumberFormat="1" applyFill="1" applyBorder="1" applyAlignment="1">
      <alignment wrapText="1"/>
    </xf>
    <xf numFmtId="168" fontId="0" fillId="10" borderId="4" xfId="0" applyNumberFormat="1" applyFill="1" applyBorder="1"/>
    <xf numFmtId="168" fontId="0" fillId="10" borderId="36" xfId="0" applyNumberFormat="1" applyFill="1" applyBorder="1"/>
    <xf numFmtId="168" fontId="0" fillId="12" borderId="4" xfId="0" applyNumberFormat="1" applyFill="1" applyBorder="1"/>
    <xf numFmtId="168" fontId="0" fillId="12" borderId="36" xfId="0" applyNumberFormat="1" applyFill="1" applyBorder="1"/>
    <xf numFmtId="1" fontId="0" fillId="8" borderId="4" xfId="0" applyNumberFormat="1" applyFill="1" applyBorder="1"/>
    <xf numFmtId="169" fontId="0" fillId="11" borderId="4" xfId="0" applyNumberFormat="1" applyFill="1" applyBorder="1"/>
    <xf numFmtId="11" fontId="0" fillId="11" borderId="36" xfId="0" applyNumberFormat="1" applyFill="1" applyBorder="1"/>
    <xf numFmtId="0" fontId="0" fillId="10" borderId="36" xfId="0" applyFill="1" applyBorder="1"/>
    <xf numFmtId="49" fontId="5" fillId="8" borderId="0" xfId="0" applyNumberFormat="1" applyFont="1" applyFill="1"/>
    <xf numFmtId="49" fontId="5" fillId="8" borderId="34" xfId="0" applyNumberFormat="1" applyFont="1" applyFill="1" applyBorder="1"/>
    <xf numFmtId="168" fontId="0" fillId="8" borderId="35" xfId="0" applyNumberFormat="1" applyFill="1" applyBorder="1"/>
    <xf numFmtId="169" fontId="0" fillId="8" borderId="34" xfId="0" applyNumberFormat="1" applyFill="1" applyBorder="1"/>
    <xf numFmtId="11" fontId="0" fillId="8" borderId="35" xfId="0" applyNumberFormat="1" applyFill="1" applyBorder="1"/>
    <xf numFmtId="0" fontId="0" fillId="8" borderId="35" xfId="0" applyFill="1" applyBorder="1" applyAlignment="1">
      <alignment wrapText="1"/>
    </xf>
    <xf numFmtId="49" fontId="0" fillId="8" borderId="34" xfId="0" applyNumberFormat="1" applyFill="1" applyBorder="1"/>
    <xf numFmtId="0" fontId="5" fillId="8" borderId="0" xfId="0" applyFont="1" applyFill="1" applyAlignment="1">
      <alignment wrapText="1"/>
    </xf>
    <xf numFmtId="169" fontId="0" fillId="11" borderId="13" xfId="0" applyNumberFormat="1" applyFill="1" applyBorder="1"/>
    <xf numFmtId="169" fontId="0" fillId="8" borderId="0" xfId="0" applyNumberFormat="1" applyFill="1"/>
    <xf numFmtId="169" fontId="0" fillId="11" borderId="37" xfId="0" applyNumberFormat="1" applyFill="1" applyBorder="1"/>
    <xf numFmtId="168" fontId="0" fillId="8" borderId="0" xfId="0" applyNumberFormat="1" applyFill="1"/>
    <xf numFmtId="49" fontId="0" fillId="8" borderId="28" xfId="0" applyNumberFormat="1" applyFill="1" applyBorder="1" applyAlignment="1">
      <alignment wrapText="1"/>
    </xf>
    <xf numFmtId="168" fontId="0" fillId="12" borderId="38" xfId="0" applyNumberFormat="1" applyFill="1" applyBorder="1"/>
    <xf numFmtId="168" fontId="0" fillId="12" borderId="39" xfId="0" applyNumberFormat="1" applyFill="1" applyBorder="1"/>
    <xf numFmtId="49" fontId="0" fillId="8" borderId="28" xfId="0" applyNumberFormat="1" applyFill="1" applyBorder="1" applyAlignment="1">
      <alignment horizontal="right"/>
    </xf>
    <xf numFmtId="0" fontId="0" fillId="11" borderId="38" xfId="0" applyFill="1" applyBorder="1"/>
    <xf numFmtId="0" fontId="0" fillId="10" borderId="39" xfId="0" applyFill="1" applyBorder="1"/>
    <xf numFmtId="168" fontId="0" fillId="10" borderId="38" xfId="0" applyNumberFormat="1" applyFill="1" applyBorder="1"/>
    <xf numFmtId="168" fontId="0" fillId="10" borderId="39" xfId="0" applyNumberFormat="1" applyFill="1" applyBorder="1"/>
    <xf numFmtId="169" fontId="0" fillId="11" borderId="40" xfId="0" applyNumberFormat="1" applyFill="1" applyBorder="1"/>
    <xf numFmtId="169" fontId="0" fillId="11" borderId="38" xfId="0" applyNumberFormat="1" applyFill="1" applyBorder="1"/>
    <xf numFmtId="169" fontId="0" fillId="11" borderId="31" xfId="0" applyNumberFormat="1" applyFill="1" applyBorder="1"/>
    <xf numFmtId="169" fontId="0" fillId="8" borderId="41" xfId="0" applyNumberFormat="1" applyFill="1" applyBorder="1"/>
    <xf numFmtId="11" fontId="0" fillId="11" borderId="39" xfId="0" applyNumberFormat="1" applyFill="1" applyBorder="1"/>
    <xf numFmtId="0" fontId="5" fillId="8" borderId="38" xfId="0" applyFont="1" applyFill="1" applyBorder="1"/>
    <xf numFmtId="0" fontId="5" fillId="11" borderId="38" xfId="0" applyFont="1" applyFill="1" applyBorder="1"/>
    <xf numFmtId="0" fontId="0" fillId="8" borderId="16" xfId="0" applyFill="1" applyBorder="1"/>
    <xf numFmtId="0" fontId="0" fillId="11" borderId="16" xfId="0" applyFill="1" applyBorder="1"/>
    <xf numFmtId="0" fontId="0" fillId="8" borderId="4" xfId="0" applyFill="1" applyBorder="1"/>
    <xf numFmtId="0" fontId="0" fillId="11" borderId="42" xfId="0" applyFill="1" applyBorder="1"/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5" fillId="12" borderId="32" xfId="0" applyFont="1" applyFill="1" applyBorder="1"/>
    <xf numFmtId="0" fontId="5" fillId="8" borderId="38" xfId="0" applyFont="1" applyFill="1" applyBorder="1" applyAlignment="1">
      <alignment horizontal="center"/>
    </xf>
    <xf numFmtId="0" fontId="0" fillId="11" borderId="0" xfId="0" applyFill="1"/>
    <xf numFmtId="0" fontId="0" fillId="8" borderId="0" xfId="0" applyFill="1" applyAlignment="1">
      <alignment horizontal="center"/>
    </xf>
    <xf numFmtId="171" fontId="0" fillId="11" borderId="0" xfId="2" applyNumberFormat="1" applyFont="1" applyFill="1"/>
    <xf numFmtId="167" fontId="0" fillId="11" borderId="0" xfId="0" applyNumberFormat="1" applyFill="1" applyAlignment="1">
      <alignment horizontal="right"/>
    </xf>
    <xf numFmtId="167" fontId="0" fillId="8" borderId="0" xfId="0" applyNumberFormat="1" applyFill="1" applyAlignment="1">
      <alignment horizontal="right"/>
    </xf>
    <xf numFmtId="167" fontId="7" fillId="8" borderId="0" xfId="0" applyNumberFormat="1" applyFont="1" applyFill="1" applyAlignment="1">
      <alignment horizontal="right"/>
    </xf>
    <xf numFmtId="1" fontId="0" fillId="12" borderId="19" xfId="0" applyNumberFormat="1" applyFill="1" applyBorder="1"/>
    <xf numFmtId="1" fontId="0" fillId="12" borderId="29" xfId="0" applyNumberFormat="1" applyFill="1" applyBorder="1"/>
    <xf numFmtId="164" fontId="0" fillId="8" borderId="34" xfId="4" applyNumberFormat="1" applyFont="1" applyFill="1" applyBorder="1"/>
    <xf numFmtId="164" fontId="0" fillId="8" borderId="35" xfId="4" applyNumberFormat="1" applyFont="1" applyFill="1" applyBorder="1"/>
    <xf numFmtId="164" fontId="1" fillId="8" borderId="4" xfId="3" applyNumberFormat="1" applyFill="1" applyBorder="1"/>
    <xf numFmtId="0" fontId="3" fillId="5" borderId="0" xfId="0" applyFont="1" applyFill="1" applyAlignment="1">
      <alignment horizontal="center" vertical="center"/>
    </xf>
    <xf numFmtId="166" fontId="0" fillId="0" borderId="16" xfId="1" applyNumberFormat="1" applyFont="1" applyBorder="1" applyAlignment="1">
      <alignment vertical="center"/>
    </xf>
    <xf numFmtId="172" fontId="9" fillId="0" borderId="6" xfId="0" applyNumberFormat="1" applyFont="1" applyBorder="1" applyAlignment="1">
      <alignment horizontal="center" wrapText="1"/>
    </xf>
    <xf numFmtId="3" fontId="9" fillId="0" borderId="14" xfId="0" applyNumberFormat="1" applyFont="1" applyBorder="1" applyAlignment="1">
      <alignment horizontal="center" wrapText="1"/>
    </xf>
    <xf numFmtId="3" fontId="9" fillId="0" borderId="7" xfId="0" applyNumberFormat="1" applyFont="1" applyBorder="1" applyAlignment="1">
      <alignment horizontal="center" wrapText="1"/>
    </xf>
    <xf numFmtId="172" fontId="10" fillId="0" borderId="12" xfId="0" applyNumberFormat="1" applyFont="1" applyBorder="1" applyAlignment="1">
      <alignment horizontal="center"/>
    </xf>
    <xf numFmtId="3" fontId="10" fillId="0" borderId="4" xfId="0" applyNumberFormat="1" applyFont="1" applyBorder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" fontId="12" fillId="0" borderId="17" xfId="0" applyNumberFormat="1" applyFont="1" applyBorder="1"/>
    <xf numFmtId="172" fontId="12" fillId="0" borderId="0" xfId="0" applyNumberFormat="1" applyFont="1"/>
    <xf numFmtId="3" fontId="12" fillId="0" borderId="0" xfId="0" applyNumberFormat="1" applyFont="1"/>
    <xf numFmtId="173" fontId="12" fillId="0" borderId="18" xfId="0" applyNumberFormat="1" applyFont="1" applyBorder="1"/>
    <xf numFmtId="1" fontId="12" fillId="0" borderId="8" xfId="0" applyNumberFormat="1" applyFont="1" applyBorder="1"/>
    <xf numFmtId="172" fontId="12" fillId="0" borderId="9" xfId="0" applyNumberFormat="1" applyFont="1" applyBorder="1"/>
    <xf numFmtId="3" fontId="12" fillId="0" borderId="9" xfId="0" applyNumberFormat="1" applyFont="1" applyBorder="1"/>
    <xf numFmtId="173" fontId="12" fillId="0" borderId="10" xfId="0" applyNumberFormat="1" applyFont="1" applyBorder="1"/>
    <xf numFmtId="43" fontId="0" fillId="0" borderId="0" xfId="1" applyFont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3" fillId="0" borderId="32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8" borderId="0" xfId="0" applyFont="1" applyFill="1"/>
    <xf numFmtId="0" fontId="14" fillId="9" borderId="4" xfId="0" applyFont="1" applyFill="1" applyBorder="1"/>
    <xf numFmtId="9" fontId="14" fillId="0" borderId="30" xfId="0" applyNumberFormat="1" applyFont="1" applyBorder="1" applyAlignment="1">
      <alignment vertical="center"/>
    </xf>
    <xf numFmtId="9" fontId="14" fillId="0" borderId="43" xfId="0" applyNumberFormat="1" applyFont="1" applyBorder="1" applyAlignment="1">
      <alignment vertical="center"/>
    </xf>
    <xf numFmtId="9" fontId="14" fillId="0" borderId="31" xfId="0" applyNumberFormat="1" applyFont="1" applyBorder="1" applyAlignment="1">
      <alignment vertical="center"/>
    </xf>
    <xf numFmtId="164" fontId="14" fillId="8" borderId="11" xfId="2" applyNumberFormat="1" applyFont="1" applyFill="1" applyBorder="1"/>
    <xf numFmtId="164" fontId="14" fillId="8" borderId="26" xfId="2" applyNumberFormat="1" applyFont="1" applyFill="1" applyBorder="1"/>
    <xf numFmtId="164" fontId="14" fillId="8" borderId="0" xfId="2" applyNumberFormat="1" applyFont="1" applyFill="1" applyBorder="1"/>
    <xf numFmtId="164" fontId="14" fillId="8" borderId="27" xfId="2" applyNumberFormat="1" applyFont="1" applyFill="1" applyBorder="1"/>
    <xf numFmtId="164" fontId="14" fillId="8" borderId="28" xfId="2" applyNumberFormat="1" applyFont="1" applyFill="1" applyBorder="1"/>
    <xf numFmtId="164" fontId="14" fillId="8" borderId="41" xfId="2" applyNumberFormat="1" applyFont="1" applyFill="1" applyBorder="1"/>
    <xf numFmtId="164" fontId="14" fillId="8" borderId="29" xfId="2" applyNumberFormat="1" applyFont="1" applyFill="1" applyBorder="1"/>
    <xf numFmtId="0" fontId="13" fillId="8" borderId="0" xfId="3" applyFont="1" applyFill="1"/>
    <xf numFmtId="0" fontId="13" fillId="9" borderId="4" xfId="3" applyFont="1" applyFill="1" applyBorder="1"/>
    <xf numFmtId="164" fontId="14" fillId="0" borderId="30" xfId="2" applyNumberFormat="1" applyFont="1" applyBorder="1" applyAlignment="1">
      <alignment vertical="center"/>
    </xf>
    <xf numFmtId="164" fontId="14" fillId="0" borderId="43" xfId="2" applyNumberFormat="1" applyFont="1" applyBorder="1" applyAlignment="1">
      <alignment vertical="center"/>
    </xf>
    <xf numFmtId="164" fontId="14" fillId="0" borderId="31" xfId="2" applyNumberFormat="1" applyFont="1" applyBorder="1" applyAlignment="1">
      <alignment vertical="center"/>
    </xf>
    <xf numFmtId="166" fontId="2" fillId="0" borderId="16" xfId="1" applyNumberFormat="1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9" fillId="0" borderId="14" xfId="0" applyNumberFormat="1" applyFont="1" applyBorder="1" applyAlignment="1">
      <alignment horizontal="center"/>
    </xf>
    <xf numFmtId="3" fontId="9" fillId="0" borderId="44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left"/>
    </xf>
    <xf numFmtId="0" fontId="8" fillId="9" borderId="2" xfId="0" applyFont="1" applyFill="1" applyBorder="1" applyAlignment="1">
      <alignment horizontal="left"/>
    </xf>
    <xf numFmtId="0" fontId="8" fillId="9" borderId="19" xfId="0" applyFont="1" applyFill="1" applyBorder="1" applyAlignment="1">
      <alignment horizontal="left"/>
    </xf>
    <xf numFmtId="0" fontId="5" fillId="8" borderId="33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25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 vertical="center"/>
    </xf>
    <xf numFmtId="43" fontId="0" fillId="0" borderId="10" xfId="1" applyFont="1" applyBorder="1" applyAlignment="1">
      <alignment vertical="center"/>
    </xf>
    <xf numFmtId="43" fontId="0" fillId="0" borderId="18" xfId="1" applyFont="1" applyBorder="1" applyAlignment="1">
      <alignment vertical="center"/>
    </xf>
  </cellXfs>
  <cellStyles count="5">
    <cellStyle name="Comma" xfId="1" builtinId="3"/>
    <cellStyle name="Currency" xfId="2" builtinId="4"/>
    <cellStyle name="Currency 2" xfId="4" xr:uid="{52C67253-137C-054E-8A67-B6BB1B7F5B39}"/>
    <cellStyle name="Normal" xfId="0" builtinId="0"/>
    <cellStyle name="Normal 2" xfId="3" xr:uid="{47969FCF-2557-DB47-B5E0-28647A26FA60}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ICER - Strategy </a:t>
            </a:r>
            <a:r>
              <a:rPr lang="en-US" altLang="zh-CN"/>
              <a:t>A</a:t>
            </a:r>
            <a:r>
              <a:rPr lang="en-US"/>
              <a:t> - Tornado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DSA'!$H$3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DSA'!$H$4:$H$5</c:f>
              <c:numCache>
                <c:formatCode>_("$"* #,##0_);_("$"* \(#,##0\);_("$"* "-"??_);_(@_)</c:formatCode>
                <c:ptCount val="2"/>
                <c:pt idx="0">
                  <c:v>75242.790515618355</c:v>
                </c:pt>
                <c:pt idx="1">
                  <c:v>57410.500160241951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96-244E-968F-D81E3A410A7D}"/>
            </c:ext>
          </c:extLst>
        </c:ser>
        <c:ser>
          <c:idx val="1"/>
          <c:order val="1"/>
          <c:tx>
            <c:strRef>
              <c:f>'One-way DSA'!$I$3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'One-way DSA'!$G$4:$G$5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DSA'!$I$4:$I$5</c:f>
              <c:numCache>
                <c:formatCode>_("$"* #,##0_);_("$"* \(#,##0\);_("$"* "-"??_);_(@_)</c:formatCode>
                <c:ptCount val="2"/>
                <c:pt idx="0">
                  <c:v>-74864.766072869606</c:v>
                </c:pt>
                <c:pt idx="1">
                  <c:v>-79614.840828655011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96-244E-968F-D81E3A410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100"/>
        <c:axId val="715851055"/>
        <c:axId val="715853615"/>
      </c:barChart>
      <c:catAx>
        <c:axId val="715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3615"/>
        <c:crossesAt val="50479"/>
        <c:auto val="1"/>
        <c:lblAlgn val="ctr"/>
        <c:lblOffset val="100"/>
        <c:noMultiLvlLbl val="0"/>
      </c:catAx>
      <c:valAx>
        <c:axId val="715853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5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Monetary Benefit - Strategy D - Tornado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'One-way DSA'!$M$3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DSA'!$M$4:$M$5</c:f>
              <c:numCache>
                <c:formatCode>_("$"* #,##0_);_("$"* \(#,##0\);_("$"* "-"??_);_(@_)</c:formatCode>
                <c:ptCount val="2"/>
                <c:pt idx="0">
                  <c:v>6259327.7429329008</c:v>
                </c:pt>
                <c:pt idx="1">
                  <c:v>18085488.708717667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7-1842-87D2-0A8DFF1C4DC2}"/>
            </c:ext>
          </c:extLst>
        </c:ser>
        <c:ser>
          <c:idx val="1"/>
          <c:order val="1"/>
          <c:tx>
            <c:strRef>
              <c:f>'One-way DSA'!$N$3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C-4F46-B253-EDC5EE2F18E1}"/>
              </c:ext>
            </c:extLst>
          </c:dPt>
          <c:cat>
            <c:strRef>
              <c:f>'One-way DSA'!$L$4:$L$5</c:f>
              <c:strCache>
                <c:ptCount val="2"/>
                <c:pt idx="0">
                  <c:v>pStage3Death</c:v>
                </c:pt>
                <c:pt idx="1">
                  <c:v>cTrtA</c:v>
                </c:pt>
              </c:strCache>
            </c:strRef>
          </c:cat>
          <c:val>
            <c:numRef>
              <c:f>'One-way DSA'!$N$4:$N$5</c:f>
              <c:numCache>
                <c:formatCode>_("$"* #,##0_);_("$"* \(#,##0\);_("$"* "-"??_);_(@_)</c:formatCode>
                <c:ptCount val="2"/>
                <c:pt idx="0">
                  <c:v>-7293816.2788028866</c:v>
                </c:pt>
                <c:pt idx="1">
                  <c:v>-3538524.9212962985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7-1842-87D2-0A8DFF1C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715643727"/>
        <c:axId val="716153935"/>
      </c:barChart>
      <c:catAx>
        <c:axId val="715643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153935"/>
        <c:crossesAt val="1724622"/>
        <c:auto val="1"/>
        <c:lblAlgn val="ctr"/>
        <c:lblOffset val="100"/>
        <c:noMultiLvlLbl val="0"/>
      </c:catAx>
      <c:valAx>
        <c:axId val="71615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4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251215</xdr:colOff>
      <xdr:row>8</xdr:row>
      <xdr:rowOff>140702</xdr:rowOff>
    </xdr:from>
    <xdr:to>
      <xdr:col>10</xdr:col>
      <xdr:colOff>701285</xdr:colOff>
      <xdr:row>21</xdr:row>
      <xdr:rowOff>176797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F5EF-A711-3E41-A5B6-E46288FBEA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56258</xdr:colOff>
      <xdr:row>8</xdr:row>
      <xdr:rowOff>140701</xdr:rowOff>
    </xdr:from>
    <xdr:to>
      <xdr:col>16</xdr:col>
      <xdr:colOff>506329</xdr:colOff>
      <xdr:row>21</xdr:row>
      <xdr:rowOff>176796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D0A454-E4E6-2946-BC2D-EA7AA5684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raves, John" id="{B0E864B5-E1C7-0345-BA30-FA830D821969}" userId="S::john.graves@vumc.org::c41a603e-b262-41f8-9584-44a3aec69ed5" providerId="AD"/>
  <person displayName="Yu, Hanxuan A" id="{01B40F01-CEFB-D948-898E-FF33202415C2}" userId="S::hanxuan.a.yu@vumc.org::ecf80d46-c22a-44c6-ac2d-1fafbed237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214ABA1A-CE0A-E446-B19E-8F11BD115EBD}">
    <text>MMULT(TRACE, COST_PAYOFF)</text>
  </threadedComment>
  <threadedComment ref="Q1" dT="2022-09-16T13:31:29.76" personId="{B0E864B5-E1C7-0345-BA30-FA830D821969}" id="{13E2F207-3E0A-AF43-B404-DCBECB52B4DA}">
    <text>MMULT(TRACE,QALY_PAYOFF)</text>
  </threadedComment>
  <threadedComment ref="S1" dT="2022-09-16T13:30:44.25" personId="{B0E864B5-E1C7-0345-BA30-FA830D821969}" id="{B8C85DC4-1045-F54F-97D7-D46D15A15813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20D4A3B-EE62-6147-B79E-6A96D806CA7D}">
    <text xml:space="preserve">1/3 in the first and last cycle.
Alternate 2/3, then 4/3 in-between. </text>
  </threadedComment>
  <threadedComment ref="X1" dT="2022-09-16T13:31:42.88" personId="{B0E864B5-E1C7-0345-BA30-FA830D821969}" id="{B0F235B5-D5AD-354D-BF69-568ADAED679E}">
    <text>Total Costs * Cycle Adjustment</text>
  </threadedComment>
  <threadedComment ref="Y1" dT="2022-09-16T13:31:53.51" personId="{B0E864B5-E1C7-0345-BA30-FA830D821969}" id="{A9B29AFB-8188-FC4E-B689-D9E16723785A}">
    <text xml:space="preserve">Total QALYs * Cycle Adjustment
</text>
  </threadedComment>
  <threadedComment ref="AA2" dT="2022-09-16T13:32:26.06" personId="{B0E864B5-E1C7-0345-BA30-FA830D821969}" id="{646DA126-87FB-C24B-B78B-8221D12D64B0}">
    <text xml:space="preserve">MMULT(TRANSPOSE(cost_adjustment),total costs)
</text>
  </threadedComment>
  <threadedComment ref="AA3" dT="2022-09-16T13:32:37.66" personId="{B0E864B5-E1C7-0345-BA30-FA830D821969}" id="{6532F39A-9A04-9146-B89A-DFCF4DB83267}">
    <text>MMULT(TRANSPOSE(qaly_adjustment),total qualms)</text>
  </threadedComment>
  <threadedComment ref="AB3" dT="2022-11-04T16:40:27.22" personId="{01B40F01-CEFB-D948-898E-FF33202415C2}" id="{89B59A91-F985-8A4A-8BFF-47EFC2F2774E}">
    <text>Here include the cycle 0(333), while the original one didn’t include. Can just delete the cycle0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B5F2D97F-0054-934B-9623-64F468E51495}">
    <text>MMULT(TRACE, COST_PAYOFF)</text>
  </threadedComment>
  <threadedComment ref="Q1" dT="2022-09-16T13:31:29.76" personId="{B0E864B5-E1C7-0345-BA30-FA830D821969}" id="{70BF3488-AB96-7B45-89A2-F5A19B4799EC}">
    <text>MMULT(TRACE,QALY_PAYOFF)</text>
  </threadedComment>
  <threadedComment ref="S1" dT="2022-09-16T13:30:44.25" personId="{B0E864B5-E1C7-0345-BA30-FA830D821969}" id="{CEE95008-1C12-2D42-BDC4-9496B59C808A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99B586DE-FE40-504D-8C89-8154561726A3}">
    <text xml:space="preserve">1/3 in the first and last cycle.
Alternate 2/3, then 4/3 in-between. </text>
  </threadedComment>
  <threadedComment ref="X1" dT="2022-09-16T13:31:42.88" personId="{B0E864B5-E1C7-0345-BA30-FA830D821969}" id="{817C0A11-5CA7-E047-B500-05EBC9CC19FC}">
    <text>Total Costs * Cycle Adjustment</text>
  </threadedComment>
  <threadedComment ref="Y1" dT="2022-09-16T13:31:53.51" personId="{B0E864B5-E1C7-0345-BA30-FA830D821969}" id="{C2B9D41A-5C9E-2844-99D6-6EA58722C2B5}">
    <text xml:space="preserve">Total QALYs * Cycle Adjustment
</text>
  </threadedComment>
  <threadedComment ref="AA2" dT="2022-09-16T13:32:26.06" personId="{B0E864B5-E1C7-0345-BA30-FA830D821969}" id="{7E3055AE-2441-044F-AE29-AE215E257B6B}">
    <text xml:space="preserve">MMULT(TRANSPOSE(cost_adjustment),total costs)
</text>
  </threadedComment>
  <threadedComment ref="AA3" dT="2022-09-16T13:32:37.66" personId="{B0E864B5-E1C7-0345-BA30-FA830D821969}" id="{76FDF45E-118C-824C-9782-4E7496E74369}">
    <text>MMULT(TRANSPOSE(qaly_adjustment),total qualms)</text>
  </threadedComment>
  <threadedComment ref="AB3" dT="2022-11-04T16:40:27.22" personId="{01B40F01-CEFB-D948-898E-FF33202415C2}" id="{62424B44-BC7D-4D4F-B6A8-5DE171AB1891}">
    <text>Here include the cycle 0(333), while the original one didn’t include. Can just delete the cycle0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9C9C2E77-7C3B-2745-A163-300DEF234BD4}">
    <text>MMULT(TRACE, COST_PAYOFF)</text>
  </threadedComment>
  <threadedComment ref="Q1" dT="2022-09-16T13:31:29.76" personId="{B0E864B5-E1C7-0345-BA30-FA830D821969}" id="{E3698469-7063-004C-B272-B2150DFA234F}">
    <text>MMULT(TRACE,QALY_PAYOFF)</text>
  </threadedComment>
  <threadedComment ref="S1" dT="2022-09-16T13:30:44.25" personId="{B0E864B5-E1C7-0345-BA30-FA830D821969}" id="{BF061D60-8917-DF4A-B718-4922F2755DD4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EC6F8FDB-A346-5D4F-8A4A-8529D9EFD481}">
    <text xml:space="preserve">1/3 in the first and last cycle.
Alternate 2/3, then 4/3 in-between. </text>
  </threadedComment>
  <threadedComment ref="X1" dT="2022-09-16T13:31:42.88" personId="{B0E864B5-E1C7-0345-BA30-FA830D821969}" id="{FD4DC96B-9DF6-644F-9C07-DFF554E6004A}">
    <text>Total Costs * Cycle Adjustment</text>
  </threadedComment>
  <threadedComment ref="Y1" dT="2022-09-16T13:31:53.51" personId="{B0E864B5-E1C7-0345-BA30-FA830D821969}" id="{C2CB2625-68C3-4B42-A02B-0DC09209EAEE}">
    <text xml:space="preserve">Total QALYs * Cycle Adjustment
</text>
  </threadedComment>
  <threadedComment ref="AA2" dT="2022-09-16T13:32:26.06" personId="{B0E864B5-E1C7-0345-BA30-FA830D821969}" id="{3EC12DA1-3300-3641-A973-1731B508E4E0}">
    <text xml:space="preserve">MMULT(TRANSPOSE(cost_adjustment),total costs)
</text>
  </threadedComment>
  <threadedComment ref="AA3" dT="2022-09-16T13:32:37.66" personId="{B0E864B5-E1C7-0345-BA30-FA830D821969}" id="{FE779CE5-7FA6-5146-86AD-D60DECC8C5DC}">
    <text>MMULT(TRANSPOSE(qaly_adjustment),total qualms)</text>
  </threadedComment>
  <threadedComment ref="AB3" dT="2022-11-04T16:40:27.22" personId="{01B40F01-CEFB-D948-898E-FF33202415C2}" id="{F7CE99EA-87FD-7941-8866-2638B34C5DC0}">
    <text>Here include the cycle 0(333), while the original one didn’t include. Can just delete the cycle0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1" dT="2022-09-16T13:31:15.61" personId="{B0E864B5-E1C7-0345-BA30-FA830D821969}" id="{4D5EBB8C-15B6-3E44-91BE-607E64FF9A61}">
    <text>MMULT(TRACE, COST_PAYOFF)</text>
  </threadedComment>
  <threadedComment ref="Q1" dT="2022-09-16T13:31:29.76" personId="{B0E864B5-E1C7-0345-BA30-FA830D821969}" id="{EA836A97-EFD3-9047-B5F9-4C01BA94F810}">
    <text>MMULT(TRACE,QALY_PAYOFF)</text>
  </threadedComment>
  <threadedComment ref="S1" dT="2022-09-16T13:30:44.25" personId="{B0E864B5-E1C7-0345-BA30-FA830D821969}" id="{E38611E2-A605-8945-B5A0-A570097B032D}">
    <text xml:space="preserve">1 / (1 + d_r)^cycle, where d_r is the appropriate discount rate (e.g., 0.03) and cycle is the cycle number
</text>
  </threadedComment>
  <threadedComment ref="V1" dT="2022-09-16T13:29:59.11" personId="{B0E864B5-E1C7-0345-BA30-FA830D821969}" id="{7B0E80BB-9FF6-5341-AA6D-DE49E731C6E0}">
    <text xml:space="preserve">1/3 in the first and last cycle.
Alternate 2/3, then 4/3 in-between. </text>
  </threadedComment>
  <threadedComment ref="X1" dT="2022-09-16T13:31:42.88" personId="{B0E864B5-E1C7-0345-BA30-FA830D821969}" id="{275F5540-89B1-B148-848F-7795AB76261A}">
    <text>Total Costs * Cycle Adjustment</text>
  </threadedComment>
  <threadedComment ref="Y1" dT="2022-09-16T13:31:53.51" personId="{B0E864B5-E1C7-0345-BA30-FA830D821969}" id="{021D8822-FD1C-094E-B356-3ECFF24C9C72}">
    <text xml:space="preserve">Total QALYs * Cycle Adjustment
</text>
  </threadedComment>
  <threadedComment ref="AA2" dT="2022-09-16T13:32:26.06" personId="{B0E864B5-E1C7-0345-BA30-FA830D821969}" id="{1714EE46-FA92-D140-9725-D702FA3721F5}">
    <text xml:space="preserve">MMULT(TRANSPOSE(cost_adjustment),total costs)
</text>
  </threadedComment>
  <threadedComment ref="AA3" dT="2022-09-16T13:32:37.66" personId="{B0E864B5-E1C7-0345-BA30-FA830D821969}" id="{F776CFC1-4CD7-AD4C-94E3-30A4422CAB48}">
    <text>MMULT(TRANSPOSE(qaly_adjustment),total qualms)</text>
  </threadedComment>
  <threadedComment ref="AB3" dT="2022-11-04T16:40:27.22" personId="{01B40F01-CEFB-D948-898E-FF33202415C2}" id="{6DDC40EE-DDA3-D744-8553-19492D741AAB}">
    <text>Here include the cycle 0(333), while the original one didn’t include. Can just delete the cycle0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0"/>
  <sheetViews>
    <sheetView zoomScale="141" workbookViewId="0">
      <pane ySplit="1" topLeftCell="A2" activePane="bottomLeft" state="frozen"/>
      <selection pane="bottomLeft" activeCell="J28" sqref="J28"/>
    </sheetView>
  </sheetViews>
  <sheetFormatPr baseColWidth="10" defaultColWidth="8.83203125" defaultRowHeight="15" x14ac:dyDescent="0.2"/>
  <cols>
    <col min="1" max="1" width="12.33203125" style="1" bestFit="1" customWidth="1"/>
    <col min="2" max="2" width="67.33203125" style="1" bestFit="1" customWidth="1"/>
    <col min="3" max="3" width="7.5" style="1" bestFit="1" customWidth="1"/>
    <col min="4" max="5" width="11.6640625" style="1" bestFit="1" customWidth="1"/>
    <col min="6" max="6" width="12.6640625" style="1" bestFit="1" customWidth="1"/>
    <col min="7" max="7" width="20.6640625" style="1" bestFit="1" customWidth="1"/>
    <col min="10" max="10" width="12.1640625" style="1" bestFit="1" customWidth="1"/>
    <col min="11" max="12" width="12.33203125" style="1" bestFit="1" customWidth="1"/>
    <col min="13" max="13" width="9.5" style="1" bestFit="1" customWidth="1"/>
    <col min="14" max="16384" width="8.83203125" style="1"/>
  </cols>
  <sheetData>
    <row r="1" spans="1:13" ht="16" thickBot="1" x14ac:dyDescent="0.25">
      <c r="A1" s="50" t="s">
        <v>81</v>
      </c>
      <c r="B1" s="50" t="s">
        <v>0</v>
      </c>
      <c r="C1" s="50" t="s">
        <v>138</v>
      </c>
      <c r="D1" s="50" t="s">
        <v>90</v>
      </c>
      <c r="E1" s="50" t="s">
        <v>91</v>
      </c>
      <c r="F1" s="50" t="s">
        <v>1</v>
      </c>
      <c r="G1" s="50" t="s">
        <v>2</v>
      </c>
    </row>
    <row r="2" spans="1:13" ht="16" thickTop="1" x14ac:dyDescent="0.2">
      <c r="A2" s="209" t="s">
        <v>82</v>
      </c>
      <c r="B2" s="51" t="s">
        <v>24</v>
      </c>
      <c r="C2" s="51"/>
      <c r="D2" s="52"/>
      <c r="E2" s="52"/>
      <c r="F2" s="52">
        <v>1000</v>
      </c>
      <c r="G2" s="51" t="s">
        <v>25</v>
      </c>
      <c r="H2" s="1"/>
    </row>
    <row r="3" spans="1:13" x14ac:dyDescent="0.2">
      <c r="A3" s="207"/>
      <c r="B3" s="1" t="s">
        <v>238</v>
      </c>
      <c r="D3" s="19"/>
      <c r="E3" s="19"/>
      <c r="F3" s="19">
        <v>30</v>
      </c>
      <c r="G3" s="1" t="s">
        <v>237</v>
      </c>
      <c r="H3" s="1"/>
    </row>
    <row r="4" spans="1:13" x14ac:dyDescent="0.2">
      <c r="A4" s="207"/>
      <c r="B4" s="1" t="s">
        <v>235</v>
      </c>
      <c r="D4" s="19"/>
      <c r="E4" s="19"/>
      <c r="F4" s="19">
        <v>1</v>
      </c>
      <c r="G4" s="1" t="s">
        <v>236</v>
      </c>
      <c r="H4" s="1"/>
    </row>
    <row r="5" spans="1:13" x14ac:dyDescent="0.2">
      <c r="A5" s="207"/>
      <c r="B5" s="1" t="s">
        <v>154</v>
      </c>
      <c r="D5" s="19"/>
      <c r="E5" s="19"/>
      <c r="F5" s="19">
        <v>5200</v>
      </c>
      <c r="G5" s="1" t="s">
        <v>155</v>
      </c>
      <c r="H5" s="1"/>
    </row>
    <row r="6" spans="1:13" x14ac:dyDescent="0.2">
      <c r="A6" s="208"/>
      <c r="B6" s="41" t="s">
        <v>78</v>
      </c>
      <c r="C6" s="41"/>
      <c r="D6" s="45"/>
      <c r="E6" s="45"/>
      <c r="F6" s="45">
        <v>0.03</v>
      </c>
      <c r="G6" s="41" t="s">
        <v>79</v>
      </c>
      <c r="H6" s="1"/>
    </row>
    <row r="7" spans="1:13" x14ac:dyDescent="0.2">
      <c r="A7" s="203" t="s">
        <v>83</v>
      </c>
      <c r="B7" s="39" t="s">
        <v>26</v>
      </c>
      <c r="C7" s="39"/>
      <c r="D7" s="43"/>
      <c r="E7" s="43"/>
      <c r="F7" s="43">
        <v>0.05</v>
      </c>
      <c r="G7" s="39" t="s">
        <v>27</v>
      </c>
      <c r="H7" s="1"/>
    </row>
    <row r="8" spans="1:13" x14ac:dyDescent="0.2">
      <c r="A8" s="204"/>
      <c r="B8" s="1" t="s">
        <v>28</v>
      </c>
      <c r="D8" s="44"/>
      <c r="E8" s="44"/>
      <c r="F8" s="44">
        <v>0.02</v>
      </c>
      <c r="G8" s="1" t="s">
        <v>30</v>
      </c>
      <c r="H8" s="1"/>
    </row>
    <row r="9" spans="1:13" x14ac:dyDescent="0.2">
      <c r="A9" s="204"/>
      <c r="B9" s="1" t="s">
        <v>29</v>
      </c>
      <c r="D9" s="44"/>
      <c r="E9" s="44"/>
      <c r="F9" s="44">
        <v>0.01</v>
      </c>
      <c r="G9" s="1" t="s">
        <v>31</v>
      </c>
      <c r="H9" s="1"/>
    </row>
    <row r="10" spans="1:13" x14ac:dyDescent="0.2">
      <c r="A10" s="204"/>
      <c r="B10" s="1" t="s">
        <v>32</v>
      </c>
      <c r="D10" s="44"/>
      <c r="E10" s="44"/>
      <c r="F10" s="44">
        <v>0.1</v>
      </c>
      <c r="G10" s="1" t="s">
        <v>34</v>
      </c>
      <c r="H10" s="1"/>
    </row>
    <row r="11" spans="1:13" x14ac:dyDescent="0.2">
      <c r="A11" s="204"/>
      <c r="B11" s="1" t="s">
        <v>33</v>
      </c>
      <c r="D11" s="44"/>
      <c r="E11" s="44"/>
      <c r="F11" s="44">
        <v>0.25</v>
      </c>
      <c r="G11" s="1" t="s">
        <v>35</v>
      </c>
      <c r="H11" s="1"/>
    </row>
    <row r="12" spans="1:13" x14ac:dyDescent="0.2">
      <c r="A12" s="204"/>
      <c r="B12" s="1" t="s">
        <v>36</v>
      </c>
      <c r="D12" s="44"/>
      <c r="E12" s="44"/>
      <c r="F12" s="44">
        <v>0.05</v>
      </c>
      <c r="G12" s="1" t="s">
        <v>39</v>
      </c>
      <c r="H12" s="1"/>
      <c r="I12" s="1"/>
    </row>
    <row r="13" spans="1:13" x14ac:dyDescent="0.2">
      <c r="A13" s="204"/>
      <c r="B13" s="1" t="s">
        <v>37</v>
      </c>
      <c r="D13" s="44"/>
      <c r="E13" s="44"/>
      <c r="F13" s="44">
        <v>0.15</v>
      </c>
      <c r="G13" s="1" t="s">
        <v>40</v>
      </c>
      <c r="H13" s="1"/>
      <c r="I13" s="184"/>
      <c r="J13" s="184"/>
      <c r="K13" s="184"/>
      <c r="L13" s="184"/>
      <c r="M13" s="184" t="s">
        <v>248</v>
      </c>
    </row>
    <row r="14" spans="1:13" x14ac:dyDescent="0.2">
      <c r="A14" s="204"/>
      <c r="B14" s="1" t="s">
        <v>38</v>
      </c>
      <c r="D14" s="44"/>
      <c r="E14" s="44"/>
      <c r="F14" s="44">
        <v>0.2</v>
      </c>
      <c r="G14" s="1" t="s">
        <v>41</v>
      </c>
      <c r="H14" s="1"/>
      <c r="I14" s="185"/>
      <c r="J14" s="185"/>
      <c r="K14" s="185" t="s">
        <v>151</v>
      </c>
      <c r="L14" s="185" t="s">
        <v>152</v>
      </c>
      <c r="M14" s="184" t="s">
        <v>247</v>
      </c>
    </row>
    <row r="15" spans="1:13" ht="16" thickBot="1" x14ac:dyDescent="0.25">
      <c r="A15" s="204"/>
      <c r="B15" s="1" t="s">
        <v>42</v>
      </c>
      <c r="D15" s="44"/>
      <c r="E15" s="44"/>
      <c r="F15" s="80">
        <v>0.05</v>
      </c>
      <c r="G15" s="1" t="s">
        <v>44</v>
      </c>
      <c r="H15" s="1"/>
      <c r="I15" s="185" t="s">
        <v>45</v>
      </c>
      <c r="J15" s="186"/>
      <c r="K15" s="187">
        <f>D16</f>
        <v>0.35</v>
      </c>
      <c r="L15" s="188">
        <f>E16</f>
        <v>0.5</v>
      </c>
      <c r="M15" s="189">
        <v>0.26976</v>
      </c>
    </row>
    <row r="16" spans="1:13" x14ac:dyDescent="0.2">
      <c r="A16" s="204"/>
      <c r="B16" s="1" t="s">
        <v>43</v>
      </c>
      <c r="D16" s="80">
        <v>0.35</v>
      </c>
      <c r="E16" s="80">
        <v>0.5</v>
      </c>
      <c r="F16" s="80">
        <v>0.45</v>
      </c>
      <c r="G16" s="1" t="s">
        <v>45</v>
      </c>
      <c r="H16" s="1"/>
      <c r="I16" s="185" t="s">
        <v>19</v>
      </c>
      <c r="J16" s="190">
        <f>('Strategy 2 - Treatment A'!W34-'Strategy 1 - Status quo'!W34)/('Strategy 2 - Treatment A'!X34-'Strategy 1 - Status quo'!X34)</f>
        <v>75173.972694971962</v>
      </c>
      <c r="K16" s="191">
        <f t="dataTable" ref="K16:M17" dt2D="0" dtr="1" r1="F16"/>
        <v>76001.343413274924</v>
      </c>
      <c r="L16" s="192">
        <v>74864.766072870014</v>
      </c>
      <c r="M16" s="193">
        <v>76989.150282737217</v>
      </c>
    </row>
    <row r="17" spans="1:13" ht="16" thickBot="1" x14ac:dyDescent="0.25">
      <c r="A17" s="204"/>
      <c r="B17" s="1" t="s">
        <v>46</v>
      </c>
      <c r="D17" s="44"/>
      <c r="E17" s="44"/>
      <c r="F17" s="44">
        <v>0.1</v>
      </c>
      <c r="G17" s="1" t="s">
        <v>48</v>
      </c>
      <c r="H17" s="1"/>
      <c r="I17" s="185" t="s">
        <v>153</v>
      </c>
      <c r="J17" s="190">
        <f>'Strategy 2 - Treatment A'!X34*wtp-'Strategy 2 - Treatment A'!W34</f>
        <v>5058725.9239503294</v>
      </c>
      <c r="K17" s="194">
        <v>2767857.6025438756</v>
      </c>
      <c r="L17" s="195">
        <v>5909902.2168179899</v>
      </c>
      <c r="M17" s="196">
        <v>219.37992015480995</v>
      </c>
    </row>
    <row r="18" spans="1:13" x14ac:dyDescent="0.2">
      <c r="A18" s="204"/>
      <c r="B18" s="1" t="s">
        <v>47</v>
      </c>
      <c r="D18" s="44"/>
      <c r="E18" s="44"/>
      <c r="F18" s="44">
        <v>0.05</v>
      </c>
      <c r="G18" s="1" t="s">
        <v>49</v>
      </c>
      <c r="H18" s="1"/>
      <c r="I18" s="184"/>
      <c r="J18" s="184"/>
      <c r="K18" s="184"/>
      <c r="L18" s="184"/>
      <c r="M18" s="184"/>
    </row>
    <row r="19" spans="1:13" ht="15" customHeight="1" thickBot="1" x14ac:dyDescent="0.25">
      <c r="A19" s="204"/>
      <c r="B19" s="1" t="s">
        <v>94</v>
      </c>
      <c r="D19" s="44"/>
      <c r="E19" s="44"/>
      <c r="F19" s="44">
        <v>0.02</v>
      </c>
      <c r="G19" s="1" t="s">
        <v>86</v>
      </c>
      <c r="H19" s="1"/>
      <c r="I19" s="197" t="s">
        <v>101</v>
      </c>
      <c r="J19" s="198"/>
      <c r="K19" s="199">
        <f>D52</f>
        <v>8000</v>
      </c>
      <c r="L19" s="200">
        <f>E52</f>
        <v>10500</v>
      </c>
      <c r="M19" s="201">
        <v>10869.38</v>
      </c>
    </row>
    <row r="20" spans="1:13" ht="16" x14ac:dyDescent="0.2">
      <c r="A20" s="204"/>
      <c r="B20" s="1" t="s">
        <v>96</v>
      </c>
      <c r="D20" s="44"/>
      <c r="E20" s="44"/>
      <c r="F20" s="44">
        <v>0.01</v>
      </c>
      <c r="G20" s="1" t="s">
        <v>87</v>
      </c>
      <c r="H20" s="1"/>
      <c r="I20" s="197" t="s">
        <v>19</v>
      </c>
      <c r="J20" s="190">
        <f>('Strategy 2 - Treatment A'!W34-'Strategy 1 - Status quo'!W34)/('Strategy 2 - Treatment A'!X34-'Strategy 1 - Status quo'!X34)</f>
        <v>75173.972694971962</v>
      </c>
      <c r="K20" s="191">
        <f t="dataTable" ref="K20:M21" dt2D="0" dtr="1" r1="F52" ca="1"/>
        <v>57410.500160241631</v>
      </c>
      <c r="L20" s="192">
        <v>79614.840828654575</v>
      </c>
      <c r="M20" s="193">
        <v>82895.576571093887</v>
      </c>
    </row>
    <row r="21" spans="1:13" ht="17" thickBot="1" x14ac:dyDescent="0.25">
      <c r="A21" s="204"/>
      <c r="B21" s="1" t="s">
        <v>97</v>
      </c>
      <c r="D21" s="44"/>
      <c r="E21" s="44"/>
      <c r="F21" s="44">
        <v>0.08</v>
      </c>
      <c r="G21" s="1" t="s">
        <v>88</v>
      </c>
      <c r="H21" s="1"/>
      <c r="I21" s="197" t="s">
        <v>153</v>
      </c>
      <c r="J21" s="190">
        <f>'Strategy 2 - Treatment A'!X34*wtp-'Strategy 2 - Treatment A'!W34</f>
        <v>5058725.9239503294</v>
      </c>
      <c r="K21" s="194">
        <v>16696296.95388741</v>
      </c>
      <c r="L21" s="195">
        <v>2149333.1664660424</v>
      </c>
      <c r="M21" s="196">
        <v>-9.8270530104637146</v>
      </c>
    </row>
    <row r="22" spans="1:13" x14ac:dyDescent="0.2">
      <c r="A22" s="204"/>
      <c r="B22" s="1" t="s">
        <v>95</v>
      </c>
      <c r="D22" s="44"/>
      <c r="E22" s="44"/>
      <c r="F22" s="44">
        <v>0.03</v>
      </c>
      <c r="G22" s="1" t="s">
        <v>89</v>
      </c>
      <c r="H22" s="1"/>
      <c r="I22" s="1"/>
    </row>
    <row r="23" spans="1:13" x14ac:dyDescent="0.2">
      <c r="A23" s="204"/>
      <c r="B23" s="1" t="s">
        <v>98</v>
      </c>
      <c r="D23" s="44"/>
      <c r="E23" s="44"/>
      <c r="F23" s="44">
        <v>0.05</v>
      </c>
      <c r="G23" s="1" t="s">
        <v>92</v>
      </c>
      <c r="H23" s="1"/>
      <c r="I23" s="1"/>
    </row>
    <row r="24" spans="1:13" x14ac:dyDescent="0.2">
      <c r="A24" s="205"/>
      <c r="B24" s="41" t="s">
        <v>99</v>
      </c>
      <c r="C24" s="41"/>
      <c r="D24" s="45"/>
      <c r="E24" s="45"/>
      <c r="F24" s="45">
        <v>0.02</v>
      </c>
      <c r="G24" s="41" t="s">
        <v>93</v>
      </c>
      <c r="H24" s="1"/>
      <c r="I24" s="1"/>
    </row>
    <row r="25" spans="1:13" ht="16" customHeight="1" x14ac:dyDescent="0.2">
      <c r="A25" s="203" t="s">
        <v>104</v>
      </c>
      <c r="B25" s="39" t="s">
        <v>105</v>
      </c>
      <c r="C25" s="39"/>
      <c r="D25" s="43"/>
      <c r="E25" s="43"/>
      <c r="F25" s="81">
        <f>-LN(1-pHealthyStage1-pHealthyStage2-pHealthyStage3)*pHealthyStage1/(pHealthyStage1+pHealthyStage2+pHealthyStage3)</f>
        <v>5.2113505586906958E-2</v>
      </c>
      <c r="G25" s="39" t="s">
        <v>121</v>
      </c>
      <c r="H25" s="1"/>
      <c r="I25" s="1"/>
    </row>
    <row r="26" spans="1:13" ht="16" customHeight="1" x14ac:dyDescent="0.2">
      <c r="A26" s="204"/>
      <c r="B26" s="1" t="s">
        <v>106</v>
      </c>
      <c r="D26" s="44"/>
      <c r="E26" s="44"/>
      <c r="F26" s="82">
        <f>-LN(1-pHealthyStage1-pHealthyStage2-pHealthyStage3)*pHealthyStage2/(pHealthyStage1+pHealthyStage2+pHealthyStage3)</f>
        <v>2.0845402234762785E-2</v>
      </c>
      <c r="G26" s="1" t="s">
        <v>122</v>
      </c>
      <c r="H26" s="1"/>
      <c r="I26" s="1"/>
    </row>
    <row r="27" spans="1:13" ht="16" customHeight="1" x14ac:dyDescent="0.2">
      <c r="A27" s="204"/>
      <c r="B27" s="1" t="s">
        <v>107</v>
      </c>
      <c r="D27" s="44"/>
      <c r="E27" s="44"/>
      <c r="F27" s="82">
        <f>-LN(1-pHealthyStage1-pHealthyStage2-pHealthyStage3)*pHealthyStage3/(pHealthyStage1+pHealthyStage2+pHealthyStage3)</f>
        <v>1.0422701117381392E-2</v>
      </c>
      <c r="G27" s="1" t="s">
        <v>123</v>
      </c>
      <c r="H27" s="1"/>
      <c r="I27" s="1"/>
    </row>
    <row r="28" spans="1:13" ht="16" customHeight="1" x14ac:dyDescent="0.2">
      <c r="A28" s="204"/>
      <c r="B28" s="1" t="s">
        <v>108</v>
      </c>
      <c r="D28" s="44"/>
      <c r="E28" s="44"/>
      <c r="F28" s="82">
        <f>-LN(1-pStage1Remission-pStage1Stage2)*pStage1Stage2/(pStage1Remission+pStage1Stage2)</f>
        <v>0.12308083316927264</v>
      </c>
      <c r="G28" s="1" t="s">
        <v>124</v>
      </c>
      <c r="H28" s="1"/>
      <c r="I28" s="1"/>
    </row>
    <row r="29" spans="1:13" ht="16" customHeight="1" x14ac:dyDescent="0.2">
      <c r="A29" s="204"/>
      <c r="B29" s="1" t="s">
        <v>109</v>
      </c>
      <c r="D29" s="44"/>
      <c r="E29" s="44"/>
      <c r="F29" s="82">
        <f>-LN(1-pStage1Remission-pStage1Stage2)*pStage1Remission/(pStage1Remission+pStage1Stage2)</f>
        <v>0.30770208292318163</v>
      </c>
      <c r="G29" s="1" t="s">
        <v>125</v>
      </c>
      <c r="H29" s="1"/>
      <c r="I29" s="1"/>
    </row>
    <row r="30" spans="1:13" ht="16" customHeight="1" x14ac:dyDescent="0.2">
      <c r="A30" s="204"/>
      <c r="B30" s="1" t="s">
        <v>111</v>
      </c>
      <c r="D30" s="44"/>
      <c r="E30" s="44"/>
      <c r="F30" s="82">
        <f>-LN(1-pStage2Remission-pStage2Stage1-pStage2Stage3)*pStage2Stage1/(pStage2Remission+pStage2Stage1+pStage2Stage3)</f>
        <v>6.385320297074884E-2</v>
      </c>
      <c r="G30" s="1" t="s">
        <v>126</v>
      </c>
      <c r="H30" s="1"/>
      <c r="I30" s="1"/>
    </row>
    <row r="31" spans="1:13" ht="16" customHeight="1" x14ac:dyDescent="0.2">
      <c r="A31" s="204"/>
      <c r="B31" s="1" t="s">
        <v>112</v>
      </c>
      <c r="D31" s="44"/>
      <c r="E31" s="44"/>
      <c r="F31" s="82">
        <f>-LN(1-pStage2Remission-pStage2Stage1-pStage2Stage3)*pStage2Stage3/(pStage2Remission+pStage2Stage1+pStage2Stage3)</f>
        <v>0.19155960891224652</v>
      </c>
      <c r="G31" s="1" t="s">
        <v>127</v>
      </c>
      <c r="H31" s="1"/>
      <c r="I31" s="1"/>
    </row>
    <row r="32" spans="1:13" ht="16" customHeight="1" x14ac:dyDescent="0.2">
      <c r="A32" s="204"/>
      <c r="B32" s="1" t="s">
        <v>110</v>
      </c>
      <c r="E32" s="44"/>
      <c r="F32" s="82">
        <f>-LN(1-pStage2Remission-pStage2Stage1-pStage2Stage3)*pStage2Remission/(pStage2Remission+pStage2Stage1+pStage2Stage3)</f>
        <v>0.25541281188299536</v>
      </c>
      <c r="G32" s="1" t="s">
        <v>128</v>
      </c>
      <c r="H32" s="1"/>
      <c r="I32" s="1"/>
    </row>
    <row r="33" spans="1:9" ht="16" customHeight="1" x14ac:dyDescent="0.2">
      <c r="A33" s="204"/>
      <c r="B33" s="1" t="s">
        <v>113</v>
      </c>
      <c r="D33" s="44"/>
      <c r="E33" s="44"/>
      <c r="F33" s="82">
        <f>-LN(1-pStage3Death-pStage3Stage2)*pStage3Stage2/(pStage3Death+pStage3Stage2)</f>
        <v>6.9314718055994526E-2</v>
      </c>
      <c r="G33" s="1" t="s">
        <v>129</v>
      </c>
      <c r="H33" s="1"/>
      <c r="I33" s="1"/>
    </row>
    <row r="34" spans="1:9" ht="16" customHeight="1" x14ac:dyDescent="0.2">
      <c r="A34" s="204"/>
      <c r="B34" s="1" t="s">
        <v>114</v>
      </c>
      <c r="D34" s="44"/>
      <c r="E34" s="44"/>
      <c r="F34" s="82">
        <f>-LN(1-pStage3Death-pStage3Stage2)*pStage3Death/(pStage3Death+pStage3Stage2)</f>
        <v>0.62383246250395075</v>
      </c>
      <c r="G34" s="1" t="s">
        <v>130</v>
      </c>
      <c r="H34" s="1"/>
      <c r="I34" s="1"/>
    </row>
    <row r="35" spans="1:9" ht="16" customHeight="1" x14ac:dyDescent="0.2">
      <c r="A35" s="204"/>
      <c r="B35" s="1" t="s">
        <v>178</v>
      </c>
      <c r="D35" s="44"/>
      <c r="E35" s="44"/>
      <c r="F35" s="82">
        <f>-LN(1-pRemissionStage1-pRemissionStage2)*pRemissionStage1/(pRemissionStage1+pRemissionStage2)</f>
        <v>0.10834595299851661</v>
      </c>
      <c r="G35" s="1" t="s">
        <v>180</v>
      </c>
      <c r="H35" s="1"/>
      <c r="I35" s="1"/>
    </row>
    <row r="36" spans="1:9" ht="16" customHeight="1" x14ac:dyDescent="0.2">
      <c r="A36" s="204"/>
      <c r="B36" s="1" t="s">
        <v>179</v>
      </c>
      <c r="D36" s="44"/>
      <c r="E36" s="44"/>
      <c r="F36" s="82">
        <f>-LN(1-pRemissionStage1-pRemissionStage2)*pRemissionStage2/(pRemissionStage1+pRemissionStage2)</f>
        <v>5.4172976499258306E-2</v>
      </c>
      <c r="G36" s="1" t="s">
        <v>181</v>
      </c>
      <c r="H36" s="1"/>
      <c r="I36" s="1"/>
    </row>
    <row r="37" spans="1:9" ht="16" customHeight="1" x14ac:dyDescent="0.2">
      <c r="A37" s="204"/>
      <c r="B37" s="1" t="s">
        <v>115</v>
      </c>
      <c r="D37" s="44"/>
      <c r="E37" s="44"/>
      <c r="F37" s="82">
        <f>-LN(1-pRemissionStage1_trtA-pRemissionStage2_trtA)*pRemissionStage1_trtA/(pRemissionStage1_trtA+pRemissionStage2_trtA)/rRemissionStage1</f>
        <v>0.18741944448462294</v>
      </c>
      <c r="G37" s="1" t="s">
        <v>131</v>
      </c>
      <c r="H37" s="1"/>
      <c r="I37" s="1"/>
    </row>
    <row r="38" spans="1:9" ht="16" customHeight="1" x14ac:dyDescent="0.2">
      <c r="A38" s="204"/>
      <c r="B38" s="1" t="s">
        <v>116</v>
      </c>
      <c r="D38" s="44"/>
      <c r="E38" s="44"/>
      <c r="F38" s="82">
        <f>-LN(1-pRemissionStage1_trtA-pRemissionStage2_trtA)*pRemissionStage2_trtA/(pRemissionStage1_trtA+pRemissionStage2_trtA)/rRemissionStage2</f>
        <v>0.18741944448462294</v>
      </c>
      <c r="G38" s="1" t="s">
        <v>132</v>
      </c>
      <c r="H38" s="1"/>
      <c r="I38" s="1"/>
    </row>
    <row r="39" spans="1:9" ht="16" customHeight="1" x14ac:dyDescent="0.2">
      <c r="A39" s="204"/>
      <c r="B39" s="1" t="s">
        <v>117</v>
      </c>
      <c r="D39" s="44"/>
      <c r="E39" s="44"/>
      <c r="F39" s="82">
        <f>-LN(1-pRemissionStage1_trtB-pRemissionStage2_trtB)*pRemissionStage1_trtB/(pRemissionStage1_trtB+pRemissionStage2_trtB)/rRemissionStage1</f>
        <v>0.78223379851691444</v>
      </c>
      <c r="G39" s="1" t="s">
        <v>133</v>
      </c>
      <c r="H39" s="1"/>
      <c r="I39" s="1"/>
    </row>
    <row r="40" spans="1:9" ht="16" customHeight="1" x14ac:dyDescent="0.2">
      <c r="A40" s="204"/>
      <c r="B40" s="1" t="s">
        <v>118</v>
      </c>
      <c r="D40" s="44"/>
      <c r="E40" s="44"/>
      <c r="F40" s="82">
        <f>-LN(1-pRemissionStage1_trtB-pRemissionStage2_trtB)*pRemissionStage2_trtB/(pRemissionStage1_trtB+pRemissionStage2_trtB)/rRemissionStage2</f>
        <v>0.5866753488876858</v>
      </c>
      <c r="G40" s="1" t="s">
        <v>134</v>
      </c>
      <c r="H40" s="1"/>
      <c r="I40" s="1"/>
    </row>
    <row r="41" spans="1:9" x14ac:dyDescent="0.2">
      <c r="A41" s="204"/>
      <c r="B41" s="1" t="s">
        <v>119</v>
      </c>
      <c r="D41" s="44"/>
      <c r="E41" s="44"/>
      <c r="F41" s="82">
        <f>-LN(1-pRemissionStage1_trtC-pRemissionStage2_trtC)*pRemissionStage1_trtC/(pRemissionStage1_trtC+pRemissionStage2_trtC)/rRemissionStage1</f>
        <v>0.47843235241513216</v>
      </c>
      <c r="G41" s="1" t="s">
        <v>136</v>
      </c>
      <c r="H41" s="1"/>
      <c r="I41" s="1"/>
    </row>
    <row r="42" spans="1:9" x14ac:dyDescent="0.2">
      <c r="A42" s="205"/>
      <c r="B42" s="1" t="s">
        <v>120</v>
      </c>
      <c r="D42" s="45"/>
      <c r="E42" s="45"/>
      <c r="F42" s="82">
        <f>-LN(1-pRemissionStage1_trtC-pRemissionStage2_trtC)*pRemissionStage2_trtC/(pRemissionStage1_trtC+pRemissionStage2_trtC)/rRemissionStage2</f>
        <v>0.38274588193210568</v>
      </c>
      <c r="G42" s="1" t="s">
        <v>135</v>
      </c>
      <c r="H42" s="1"/>
      <c r="I42" s="1"/>
    </row>
    <row r="43" spans="1:9" x14ac:dyDescent="0.2">
      <c r="A43" s="206" t="s">
        <v>100</v>
      </c>
      <c r="B43" s="39" t="s">
        <v>50</v>
      </c>
      <c r="C43" s="39"/>
      <c r="D43" s="39"/>
      <c r="E43" s="39"/>
      <c r="F43" s="39">
        <v>4</v>
      </c>
      <c r="G43" s="39" t="s">
        <v>58</v>
      </c>
      <c r="H43" s="1"/>
      <c r="I43" s="1"/>
    </row>
    <row r="44" spans="1:9" x14ac:dyDescent="0.2">
      <c r="A44" s="207"/>
      <c r="B44" s="1" t="s">
        <v>51</v>
      </c>
      <c r="F44" s="1">
        <v>12</v>
      </c>
      <c r="G44" s="1" t="s">
        <v>59</v>
      </c>
      <c r="H44" s="1"/>
      <c r="I44" s="1"/>
    </row>
    <row r="45" spans="1:9" x14ac:dyDescent="0.2">
      <c r="A45" s="207"/>
      <c r="B45" s="1" t="s">
        <v>52</v>
      </c>
      <c r="F45" s="1">
        <v>52</v>
      </c>
      <c r="G45" s="1" t="s">
        <v>60</v>
      </c>
      <c r="H45" s="1"/>
      <c r="I45" s="1"/>
    </row>
    <row r="46" spans="1:9" x14ac:dyDescent="0.2">
      <c r="A46" s="207"/>
      <c r="B46" s="1" t="s">
        <v>53</v>
      </c>
      <c r="F46" s="1">
        <v>1</v>
      </c>
      <c r="G46" s="1" t="s">
        <v>61</v>
      </c>
      <c r="H46" s="1"/>
      <c r="I46" s="1"/>
    </row>
    <row r="47" spans="1:9" x14ac:dyDescent="0.2">
      <c r="A47" s="207"/>
      <c r="B47" s="1" t="s">
        <v>65</v>
      </c>
      <c r="D47" s="40"/>
      <c r="E47" s="40"/>
      <c r="F47" s="40">
        <v>100</v>
      </c>
      <c r="G47" s="1" t="s">
        <v>66</v>
      </c>
      <c r="H47" s="1"/>
      <c r="I47" s="1"/>
    </row>
    <row r="48" spans="1:9" x14ac:dyDescent="0.2">
      <c r="A48" s="207"/>
      <c r="B48" s="1" t="s">
        <v>54</v>
      </c>
      <c r="D48" s="40"/>
      <c r="E48" s="40"/>
      <c r="F48" s="40">
        <v>1200</v>
      </c>
      <c r="G48" s="1" t="s">
        <v>62</v>
      </c>
      <c r="H48" s="1"/>
      <c r="I48" s="1"/>
    </row>
    <row r="49" spans="1:9" x14ac:dyDescent="0.2">
      <c r="A49" s="207"/>
      <c r="B49" s="1" t="s">
        <v>55</v>
      </c>
      <c r="D49" s="40"/>
      <c r="E49" s="40"/>
      <c r="F49" s="40">
        <v>6000</v>
      </c>
      <c r="G49" s="1" t="s">
        <v>63</v>
      </c>
      <c r="H49" s="1"/>
      <c r="I49" s="1"/>
    </row>
    <row r="50" spans="1:9" x14ac:dyDescent="0.2">
      <c r="A50" s="207"/>
      <c r="B50" s="1" t="s">
        <v>56</v>
      </c>
      <c r="D50" s="40"/>
      <c r="E50" s="40"/>
      <c r="F50" s="40">
        <v>18000</v>
      </c>
      <c r="G50" s="1" t="s">
        <v>64</v>
      </c>
      <c r="H50" s="1"/>
      <c r="I50" s="1"/>
    </row>
    <row r="51" spans="1:9" x14ac:dyDescent="0.2">
      <c r="A51" s="207"/>
      <c r="B51" s="1" t="s">
        <v>57</v>
      </c>
      <c r="D51" s="40"/>
      <c r="E51" s="40"/>
      <c r="F51" s="40">
        <v>400</v>
      </c>
      <c r="G51" s="1" t="s">
        <v>67</v>
      </c>
      <c r="H51" s="1"/>
      <c r="I51" s="1"/>
    </row>
    <row r="52" spans="1:9" x14ac:dyDescent="0.2">
      <c r="A52" s="207"/>
      <c r="B52" s="1" t="s">
        <v>139</v>
      </c>
      <c r="D52" s="40">
        <v>8000</v>
      </c>
      <c r="E52" s="40">
        <v>10500</v>
      </c>
      <c r="F52" s="40">
        <v>10000</v>
      </c>
      <c r="G52" s="1" t="s">
        <v>101</v>
      </c>
      <c r="H52" s="1"/>
      <c r="I52" s="1"/>
    </row>
    <row r="53" spans="1:9" x14ac:dyDescent="0.2">
      <c r="A53" s="207"/>
      <c r="B53" s="1" t="s">
        <v>140</v>
      </c>
      <c r="D53" s="40"/>
      <c r="E53" s="40"/>
      <c r="F53" s="40">
        <v>7500</v>
      </c>
      <c r="G53" s="1" t="s">
        <v>102</v>
      </c>
      <c r="H53" s="1"/>
      <c r="I53" s="1"/>
    </row>
    <row r="54" spans="1:9" x14ac:dyDescent="0.2">
      <c r="A54" s="208"/>
      <c r="B54" s="41" t="s">
        <v>141</v>
      </c>
      <c r="C54" s="41"/>
      <c r="D54" s="42"/>
      <c r="E54" s="42"/>
      <c r="F54" s="42">
        <v>12500</v>
      </c>
      <c r="G54" s="41" t="s">
        <v>103</v>
      </c>
      <c r="H54" s="1"/>
      <c r="I54" s="1"/>
    </row>
    <row r="55" spans="1:9" x14ac:dyDescent="0.2">
      <c r="A55" s="206" t="s">
        <v>84</v>
      </c>
      <c r="B55" s="39" t="s">
        <v>68</v>
      </c>
      <c r="C55" s="39"/>
      <c r="D55" s="39"/>
      <c r="E55" s="39"/>
      <c r="F55" s="39">
        <v>1</v>
      </c>
      <c r="G55" s="39" t="s">
        <v>73</v>
      </c>
      <c r="H55" s="1"/>
      <c r="I55" s="1"/>
    </row>
    <row r="56" spans="1:9" x14ac:dyDescent="0.2">
      <c r="A56" s="207"/>
      <c r="B56" s="1" t="s">
        <v>69</v>
      </c>
      <c r="F56" s="1">
        <v>0.88</v>
      </c>
      <c r="G56" s="1" t="s">
        <v>75</v>
      </c>
    </row>
    <row r="57" spans="1:9" x14ac:dyDescent="0.2">
      <c r="A57" s="207"/>
      <c r="B57" s="1" t="s">
        <v>70</v>
      </c>
      <c r="F57" s="1">
        <v>0.71</v>
      </c>
      <c r="G57" s="1" t="s">
        <v>76</v>
      </c>
      <c r="H57" s="1"/>
      <c r="I57" s="1"/>
    </row>
    <row r="58" spans="1:9" x14ac:dyDescent="0.2">
      <c r="A58" s="207"/>
      <c r="B58" s="1" t="s">
        <v>71</v>
      </c>
      <c r="F58" s="1">
        <v>0.36</v>
      </c>
      <c r="G58" s="1" t="s">
        <v>77</v>
      </c>
      <c r="H58" s="1"/>
      <c r="I58" s="1"/>
    </row>
    <row r="59" spans="1:9" x14ac:dyDescent="0.2">
      <c r="A59" s="207"/>
      <c r="B59" s="1" t="s">
        <v>72</v>
      </c>
      <c r="F59" s="1">
        <v>0.95</v>
      </c>
      <c r="G59" s="1" t="s">
        <v>74</v>
      </c>
      <c r="H59" s="1"/>
      <c r="I59" s="1"/>
    </row>
    <row r="60" spans="1:9" x14ac:dyDescent="0.2">
      <c r="A60" s="208"/>
      <c r="B60" s="41" t="s">
        <v>239</v>
      </c>
      <c r="C60" s="41"/>
      <c r="D60" s="41"/>
      <c r="E60" s="41"/>
      <c r="F60" s="41">
        <v>0</v>
      </c>
      <c r="G60" s="41" t="s">
        <v>240</v>
      </c>
      <c r="H60" s="1"/>
      <c r="I60" s="1"/>
    </row>
  </sheetData>
  <mergeCells count="5">
    <mergeCell ref="A7:A24"/>
    <mergeCell ref="A55:A60"/>
    <mergeCell ref="A43:A54"/>
    <mergeCell ref="A25:A42"/>
    <mergeCell ref="A2:A6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94D-43C4-8B4B-8465-2F671EF6EAF6}">
  <dimension ref="A1:G103"/>
  <sheetViews>
    <sheetView tabSelected="1" zoomScale="130" zoomScaleNormal="130" workbookViewId="0">
      <selection activeCell="D3" sqref="D3:D103"/>
    </sheetView>
  </sheetViews>
  <sheetFormatPr baseColWidth="10" defaultRowHeight="15" x14ac:dyDescent="0.2"/>
  <sheetData>
    <row r="1" spans="1:7" ht="91" x14ac:dyDescent="0.2">
      <c r="A1" s="210" t="s">
        <v>249</v>
      </c>
      <c r="B1" s="167" t="s">
        <v>250</v>
      </c>
      <c r="C1" s="168" t="s">
        <v>251</v>
      </c>
      <c r="D1" s="169" t="s">
        <v>252</v>
      </c>
      <c r="E1" s="169" t="s">
        <v>253</v>
      </c>
      <c r="F1" s="169" t="s">
        <v>254</v>
      </c>
      <c r="G1" s="169" t="s">
        <v>255</v>
      </c>
    </row>
    <row r="2" spans="1:7" ht="16" x14ac:dyDescent="0.2">
      <c r="A2" s="211"/>
      <c r="B2" s="170" t="s">
        <v>256</v>
      </c>
      <c r="C2" s="171" t="s">
        <v>257</v>
      </c>
      <c r="D2" s="172" t="s">
        <v>258</v>
      </c>
      <c r="E2" s="172" t="s">
        <v>259</v>
      </c>
      <c r="F2" s="172" t="s">
        <v>260</v>
      </c>
      <c r="G2" s="172" t="s">
        <v>261</v>
      </c>
    </row>
    <row r="3" spans="1:7" x14ac:dyDescent="0.2">
      <c r="A3" s="173">
        <v>0</v>
      </c>
      <c r="B3" s="174">
        <v>4.9182921648025513E-3</v>
      </c>
      <c r="C3" s="175">
        <v>100000</v>
      </c>
      <c r="D3" s="175">
        <v>491.8292236328125</v>
      </c>
      <c r="E3" s="175">
        <v>99571.6171875</v>
      </c>
      <c r="F3" s="175">
        <v>7988223.5</v>
      </c>
      <c r="G3" s="176">
        <v>79.882232666015625</v>
      </c>
    </row>
    <row r="4" spans="1:7" x14ac:dyDescent="0.2">
      <c r="A4" s="173">
        <v>1</v>
      </c>
      <c r="B4" s="174">
        <v>3.1034345738589764E-4</v>
      </c>
      <c r="C4" s="175">
        <v>99508.171875</v>
      </c>
      <c r="D4" s="175">
        <v>30.881710052490234</v>
      </c>
      <c r="E4" s="175">
        <v>99492.734375</v>
      </c>
      <c r="F4" s="175">
        <v>7888651.5</v>
      </c>
      <c r="G4" s="176">
        <v>79.276420593261719</v>
      </c>
    </row>
    <row r="5" spans="1:7" x14ac:dyDescent="0.2">
      <c r="A5" s="173">
        <v>2</v>
      </c>
      <c r="B5" s="174">
        <v>1.9920052727684379E-4</v>
      </c>
      <c r="C5" s="175">
        <v>99477.2890625</v>
      </c>
      <c r="D5" s="175">
        <v>19.815927505493164</v>
      </c>
      <c r="E5" s="175">
        <v>99467.3828125</v>
      </c>
      <c r="F5" s="175">
        <v>7789159</v>
      </c>
      <c r="G5" s="176">
        <v>78.300880432128906</v>
      </c>
    </row>
    <row r="6" spans="1:7" x14ac:dyDescent="0.2">
      <c r="A6" s="173">
        <v>3</v>
      </c>
      <c r="B6" s="174">
        <v>1.6134677571244538E-4</v>
      </c>
      <c r="C6" s="175">
        <v>99457.4765625</v>
      </c>
      <c r="D6" s="175">
        <v>16.047143936157227</v>
      </c>
      <c r="E6" s="175">
        <v>99449.453125</v>
      </c>
      <c r="F6" s="175">
        <v>7689691.5</v>
      </c>
      <c r="G6" s="176">
        <v>77.316375732421875</v>
      </c>
    </row>
    <row r="7" spans="1:7" x14ac:dyDescent="0.2">
      <c r="A7" s="173">
        <v>4</v>
      </c>
      <c r="B7" s="174">
        <v>1.2305102427490056E-4</v>
      </c>
      <c r="C7" s="175">
        <v>99441.4296875</v>
      </c>
      <c r="D7" s="175">
        <v>12.236370086669922</v>
      </c>
      <c r="E7" s="175">
        <v>99435.3125</v>
      </c>
      <c r="F7" s="175">
        <v>7590242</v>
      </c>
      <c r="G7" s="176">
        <v>76.328773498535156</v>
      </c>
    </row>
    <row r="8" spans="1:7" x14ac:dyDescent="0.2">
      <c r="A8" s="173">
        <v>5</v>
      </c>
      <c r="B8" s="174">
        <v>1.1494819773361087E-4</v>
      </c>
      <c r="C8" s="175">
        <v>99429.1953125</v>
      </c>
      <c r="D8" s="175">
        <v>11.429206848144531</v>
      </c>
      <c r="E8" s="175">
        <v>99423.484375</v>
      </c>
      <c r="F8" s="175">
        <v>7490807</v>
      </c>
      <c r="G8" s="176">
        <v>75.338104248046875</v>
      </c>
    </row>
    <row r="9" spans="1:7" x14ac:dyDescent="0.2">
      <c r="A9" s="173">
        <v>6</v>
      </c>
      <c r="B9" s="174">
        <v>1.0265516175422817E-4</v>
      </c>
      <c r="C9" s="175">
        <v>99417.765625</v>
      </c>
      <c r="D9" s="175">
        <v>10.205746650695801</v>
      </c>
      <c r="E9" s="175">
        <v>99412.6640625</v>
      </c>
      <c r="F9" s="175">
        <v>7391383.5</v>
      </c>
      <c r="G9" s="176">
        <v>74.346710205078125</v>
      </c>
    </row>
    <row r="10" spans="1:7" x14ac:dyDescent="0.2">
      <c r="A10" s="173">
        <v>7</v>
      </c>
      <c r="B10" s="174">
        <v>9.4414404884446412E-5</v>
      </c>
      <c r="C10" s="175">
        <v>99407.5625</v>
      </c>
      <c r="D10" s="175">
        <v>9.3855056762695312</v>
      </c>
      <c r="E10" s="175">
        <v>99402.875</v>
      </c>
      <c r="F10" s="175">
        <v>7291970.5</v>
      </c>
      <c r="G10" s="176">
        <v>73.354286193847656</v>
      </c>
    </row>
    <row r="11" spans="1:7" x14ac:dyDescent="0.2">
      <c r="A11" s="173">
        <v>8</v>
      </c>
      <c r="B11" s="174">
        <v>8.9183908130507916E-5</v>
      </c>
      <c r="C11" s="175">
        <v>99398.1796875</v>
      </c>
      <c r="D11" s="175">
        <v>8.8647184371948242</v>
      </c>
      <c r="E11" s="175">
        <v>99393.75</v>
      </c>
      <c r="F11" s="175">
        <v>7192567.5</v>
      </c>
      <c r="G11" s="176">
        <v>72.361160278320312</v>
      </c>
    </row>
    <row r="12" spans="1:7" x14ac:dyDescent="0.2">
      <c r="A12" s="173">
        <v>9</v>
      </c>
      <c r="B12" s="174">
        <v>8.7081112724263221E-5</v>
      </c>
      <c r="C12" s="175">
        <v>99389.3125</v>
      </c>
      <c r="D12" s="175">
        <v>8.6549320220947266</v>
      </c>
      <c r="E12" s="175">
        <v>99384.984375</v>
      </c>
      <c r="F12" s="175">
        <v>7093174</v>
      </c>
      <c r="G12" s="176">
        <v>71.367576599121094</v>
      </c>
    </row>
    <row r="13" spans="1:7" x14ac:dyDescent="0.2">
      <c r="A13" s="173">
        <v>10</v>
      </c>
      <c r="B13" s="174">
        <v>8.9411485532764345E-5</v>
      </c>
      <c r="C13" s="175">
        <v>99380.65625</v>
      </c>
      <c r="D13" s="175">
        <v>8.8857717514038086</v>
      </c>
      <c r="E13" s="175">
        <v>99376.21875</v>
      </c>
      <c r="F13" s="175">
        <v>6993789</v>
      </c>
      <c r="G13" s="176">
        <v>70.373748779296875</v>
      </c>
    </row>
    <row r="14" spans="1:7" x14ac:dyDescent="0.2">
      <c r="A14" s="173">
        <v>11</v>
      </c>
      <c r="B14" s="174">
        <v>9.8494638223201036E-5</v>
      </c>
      <c r="C14" s="175">
        <v>99371.7734375</v>
      </c>
      <c r="D14" s="175">
        <v>9.7875871658325195</v>
      </c>
      <c r="E14" s="175">
        <v>99366.875</v>
      </c>
      <c r="F14" s="175">
        <v>6894413</v>
      </c>
      <c r="G14" s="176">
        <v>69.379997253417969</v>
      </c>
    </row>
    <row r="15" spans="1:7" x14ac:dyDescent="0.2">
      <c r="A15" s="173">
        <v>12</v>
      </c>
      <c r="B15" s="174">
        <v>1.1708783131325617E-4</v>
      </c>
      <c r="C15" s="175">
        <v>99361.984375</v>
      </c>
      <c r="D15" s="175">
        <v>11.634078979492188</v>
      </c>
      <c r="E15" s="175">
        <v>99356.171875</v>
      </c>
      <c r="F15" s="175">
        <v>6795046</v>
      </c>
      <c r="G15" s="176">
        <v>68.38677978515625</v>
      </c>
    </row>
    <row r="16" spans="1:7" x14ac:dyDescent="0.2">
      <c r="A16" s="173">
        <v>13</v>
      </c>
      <c r="B16" s="174">
        <v>1.4674430713057518E-4</v>
      </c>
      <c r="C16" s="175">
        <v>99350.3515625</v>
      </c>
      <c r="D16" s="175">
        <v>14.579098701477051</v>
      </c>
      <c r="E16" s="175">
        <v>99343.0625</v>
      </c>
      <c r="F16" s="175">
        <v>6695689.5</v>
      </c>
      <c r="G16" s="176">
        <v>67.394721984863281</v>
      </c>
    </row>
    <row r="17" spans="1:7" x14ac:dyDescent="0.2">
      <c r="A17" s="173">
        <v>14</v>
      </c>
      <c r="B17" s="174">
        <v>1.8538441509008408E-4</v>
      </c>
      <c r="C17" s="175">
        <v>99335.7734375</v>
      </c>
      <c r="D17" s="175">
        <v>18.415304183959961</v>
      </c>
      <c r="E17" s="175">
        <v>99326.5625</v>
      </c>
      <c r="F17" s="175">
        <v>6596346.5</v>
      </c>
      <c r="G17" s="176">
        <v>66.404541015625</v>
      </c>
    </row>
    <row r="18" spans="1:7" x14ac:dyDescent="0.2">
      <c r="A18" s="173">
        <v>15</v>
      </c>
      <c r="B18" s="174">
        <v>2.296643506269902E-4</v>
      </c>
      <c r="C18" s="175">
        <v>99317.359375</v>
      </c>
      <c r="D18" s="175">
        <v>22.809656143188477</v>
      </c>
      <c r="E18" s="175">
        <v>99305.953125</v>
      </c>
      <c r="F18" s="175">
        <v>6497020</v>
      </c>
      <c r="G18" s="176">
        <v>65.416763305664062</v>
      </c>
    </row>
    <row r="19" spans="1:7" x14ac:dyDescent="0.2">
      <c r="A19" s="173">
        <v>16</v>
      </c>
      <c r="B19" s="174">
        <v>2.7617320301942527E-4</v>
      </c>
      <c r="C19" s="175">
        <v>99294.546875</v>
      </c>
      <c r="D19" s="175">
        <v>27.422492980957031</v>
      </c>
      <c r="E19" s="175">
        <v>99280.8359375</v>
      </c>
      <c r="F19" s="175">
        <v>6397714</v>
      </c>
      <c r="G19" s="176">
        <v>64.431678771972656</v>
      </c>
    </row>
    <row r="20" spans="1:7" x14ac:dyDescent="0.2">
      <c r="A20" s="173">
        <v>17</v>
      </c>
      <c r="B20" s="174">
        <v>3.2387953251600266E-4</v>
      </c>
      <c r="C20" s="175">
        <v>99267.125</v>
      </c>
      <c r="D20" s="175">
        <v>32.150588989257812</v>
      </c>
      <c r="E20" s="175">
        <v>99251.046875</v>
      </c>
      <c r="F20" s="175">
        <v>6298433.5</v>
      </c>
      <c r="G20" s="176">
        <v>63.4493408203125</v>
      </c>
    </row>
    <row r="21" spans="1:7" x14ac:dyDescent="0.2">
      <c r="A21" s="173">
        <v>18</v>
      </c>
      <c r="B21" s="174">
        <v>3.7105032242834568E-4</v>
      </c>
      <c r="C21" s="175">
        <v>99234.9765625</v>
      </c>
      <c r="D21" s="175">
        <v>36.821170806884766</v>
      </c>
      <c r="E21" s="175">
        <v>99216.5625</v>
      </c>
      <c r="F21" s="175">
        <v>6199182.5</v>
      </c>
      <c r="G21" s="176">
        <v>62.469734191894531</v>
      </c>
    </row>
    <row r="22" spans="1:7" x14ac:dyDescent="0.2">
      <c r="A22" s="173">
        <v>19</v>
      </c>
      <c r="B22" s="174">
        <v>4.1805012733675539E-4</v>
      </c>
      <c r="C22" s="175">
        <v>99198.15625</v>
      </c>
      <c r="D22" s="175">
        <v>41.469802856445312</v>
      </c>
      <c r="E22" s="175">
        <v>99177.421875</v>
      </c>
      <c r="F22" s="175">
        <v>6099965.5</v>
      </c>
      <c r="G22" s="176">
        <v>61.492729187011719</v>
      </c>
    </row>
    <row r="23" spans="1:7" x14ac:dyDescent="0.2">
      <c r="A23" s="173">
        <v>20</v>
      </c>
      <c r="B23" s="174">
        <v>4.6753851347602904E-4</v>
      </c>
      <c r="C23" s="175">
        <v>99156.6875</v>
      </c>
      <c r="D23" s="175">
        <v>46.359569549560547</v>
      </c>
      <c r="E23" s="175">
        <v>99133.5078125</v>
      </c>
      <c r="F23" s="175">
        <v>6000788.5</v>
      </c>
      <c r="G23" s="176">
        <v>60.518241882324219</v>
      </c>
    </row>
    <row r="24" spans="1:7" x14ac:dyDescent="0.2">
      <c r="A24" s="173">
        <v>21</v>
      </c>
      <c r="B24" s="174">
        <v>5.19419030752033E-4</v>
      </c>
      <c r="C24" s="175">
        <v>99110.328125</v>
      </c>
      <c r="D24" s="175">
        <v>51.479789733886719</v>
      </c>
      <c r="E24" s="175">
        <v>99084.59375</v>
      </c>
      <c r="F24" s="175">
        <v>5901655</v>
      </c>
      <c r="G24" s="176">
        <v>59.546318054199219</v>
      </c>
    </row>
    <row r="25" spans="1:7" x14ac:dyDescent="0.2">
      <c r="A25" s="173">
        <v>22</v>
      </c>
      <c r="B25" s="174">
        <v>5.6993152247741818E-4</v>
      </c>
      <c r="C25" s="175">
        <v>99058.8515625</v>
      </c>
      <c r="D25" s="175">
        <v>56.456760406494141</v>
      </c>
      <c r="E25" s="175">
        <v>99030.625</v>
      </c>
      <c r="F25" s="175">
        <v>5802570</v>
      </c>
      <c r="G25" s="176">
        <v>58.576995849609375</v>
      </c>
    </row>
    <row r="26" spans="1:7" x14ac:dyDescent="0.2">
      <c r="A26" s="173">
        <v>23</v>
      </c>
      <c r="B26" s="174">
        <v>6.1726034618914127E-4</v>
      </c>
      <c r="C26" s="175">
        <v>99002.3984375</v>
      </c>
      <c r="D26" s="175">
        <v>61.110256195068359</v>
      </c>
      <c r="E26" s="175">
        <v>98971.84375</v>
      </c>
      <c r="F26" s="175">
        <v>5703539.5</v>
      </c>
      <c r="G26" s="176">
        <v>57.610115051269531</v>
      </c>
    </row>
    <row r="27" spans="1:7" x14ac:dyDescent="0.2">
      <c r="A27" s="173">
        <v>24</v>
      </c>
      <c r="B27" s="174">
        <v>6.6197779960930347E-4</v>
      </c>
      <c r="C27" s="175">
        <v>98941.2890625</v>
      </c>
      <c r="D27" s="175">
        <v>65.496940612792969</v>
      </c>
      <c r="E27" s="175">
        <v>98908.5390625</v>
      </c>
      <c r="F27" s="175">
        <v>5604567.5</v>
      </c>
      <c r="G27" s="176">
        <v>56.6453857421875</v>
      </c>
    </row>
    <row r="28" spans="1:7" x14ac:dyDescent="0.2">
      <c r="A28" s="173">
        <v>25</v>
      </c>
      <c r="B28" s="174">
        <v>7.0523109752684832E-4</v>
      </c>
      <c r="C28" s="175">
        <v>98875.7890625</v>
      </c>
      <c r="D28" s="175">
        <v>69.730278015136719</v>
      </c>
      <c r="E28" s="175">
        <v>98840.921875</v>
      </c>
      <c r="F28" s="175">
        <v>5505659</v>
      </c>
      <c r="G28" s="176">
        <v>55.682579040527344</v>
      </c>
    </row>
    <row r="29" spans="1:7" x14ac:dyDescent="0.2">
      <c r="A29" s="173">
        <v>26</v>
      </c>
      <c r="B29" s="174">
        <v>7.4984179809689522E-4</v>
      </c>
      <c r="C29" s="175">
        <v>98806.0625</v>
      </c>
      <c r="D29" s="175">
        <v>74.088912963867188</v>
      </c>
      <c r="E29" s="175">
        <v>98769.015625</v>
      </c>
      <c r="F29" s="175">
        <v>5406818.5</v>
      </c>
      <c r="G29" s="176">
        <v>54.721527099609375</v>
      </c>
    </row>
    <row r="30" spans="1:7" x14ac:dyDescent="0.2">
      <c r="A30" s="173">
        <v>27</v>
      </c>
      <c r="B30" s="174">
        <v>7.9824408749118447E-4</v>
      </c>
      <c r="C30" s="175">
        <v>98731.9765625</v>
      </c>
      <c r="D30" s="175">
        <v>78.812217712402344</v>
      </c>
      <c r="E30" s="175">
        <v>98692.5703125</v>
      </c>
      <c r="F30" s="175">
        <v>5308049.5</v>
      </c>
      <c r="G30" s="176">
        <v>53.762210845947266</v>
      </c>
    </row>
    <row r="31" spans="1:7" x14ac:dyDescent="0.2">
      <c r="A31" s="173">
        <v>28</v>
      </c>
      <c r="B31" s="174">
        <v>8.5295288590714335E-4</v>
      </c>
      <c r="C31" s="175">
        <v>98653.1640625</v>
      </c>
      <c r="D31" s="175">
        <v>84.146499633789062</v>
      </c>
      <c r="E31" s="175">
        <v>98611.09375</v>
      </c>
      <c r="F31" s="175">
        <v>5209356.5</v>
      </c>
      <c r="G31" s="176">
        <v>52.804759979248047</v>
      </c>
    </row>
    <row r="32" spans="1:7" x14ac:dyDescent="0.2">
      <c r="A32" s="173">
        <v>29</v>
      </c>
      <c r="B32" s="174">
        <v>9.1356568736955523E-4</v>
      </c>
      <c r="C32" s="175">
        <v>98569.015625</v>
      </c>
      <c r="D32" s="175">
        <v>90.049270629882812</v>
      </c>
      <c r="E32" s="175">
        <v>98523.9921875</v>
      </c>
      <c r="F32" s="175">
        <v>5110745.5</v>
      </c>
      <c r="G32" s="176">
        <v>51.849411010742188</v>
      </c>
    </row>
    <row r="33" spans="1:7" x14ac:dyDescent="0.2">
      <c r="A33" s="173">
        <v>30</v>
      </c>
      <c r="B33" s="174">
        <v>9.7815925255417824E-4</v>
      </c>
      <c r="C33" s="175">
        <v>98478.96875</v>
      </c>
      <c r="D33" s="175">
        <v>96.328117370605469</v>
      </c>
      <c r="E33" s="175">
        <v>98430.8046875</v>
      </c>
      <c r="F33" s="175">
        <v>5012221.5</v>
      </c>
      <c r="G33" s="176">
        <v>50.896366119384766</v>
      </c>
    </row>
    <row r="34" spans="1:7" x14ac:dyDescent="0.2">
      <c r="A34" s="173">
        <v>31</v>
      </c>
      <c r="B34" s="174">
        <v>1.0439890902489424E-3</v>
      </c>
      <c r="C34" s="175">
        <v>98382.640625</v>
      </c>
      <c r="D34" s="175">
        <v>102.71040344238281</v>
      </c>
      <c r="E34" s="175">
        <v>98331.28125</v>
      </c>
      <c r="F34" s="175">
        <v>4913791</v>
      </c>
      <c r="G34" s="176">
        <v>49.945713043212891</v>
      </c>
    </row>
    <row r="35" spans="1:7" x14ac:dyDescent="0.2">
      <c r="A35" s="173">
        <v>32</v>
      </c>
      <c r="B35" s="174">
        <v>1.1105344165116549E-3</v>
      </c>
      <c r="C35" s="175">
        <v>98279.9296875</v>
      </c>
      <c r="D35" s="175">
        <v>109.14324188232422</v>
      </c>
      <c r="E35" s="175">
        <v>98225.359375</v>
      </c>
      <c r="F35" s="175">
        <v>4815459.5</v>
      </c>
      <c r="G35" s="176">
        <v>48.997383117675781</v>
      </c>
    </row>
    <row r="36" spans="1:7" x14ac:dyDescent="0.2">
      <c r="A36" s="173">
        <v>33</v>
      </c>
      <c r="B36" s="174">
        <v>1.1764272348955274E-3</v>
      </c>
      <c r="C36" s="175">
        <v>98170.7890625</v>
      </c>
      <c r="D36" s="175">
        <v>115.49079132080078</v>
      </c>
      <c r="E36" s="175">
        <v>98113.046875</v>
      </c>
      <c r="F36" s="175">
        <v>4717234</v>
      </c>
      <c r="G36" s="176">
        <v>48.051300048828125</v>
      </c>
    </row>
    <row r="37" spans="1:7" x14ac:dyDescent="0.2">
      <c r="A37" s="173">
        <v>34</v>
      </c>
      <c r="B37" s="174">
        <v>1.2426998000591993E-3</v>
      </c>
      <c r="C37" s="175">
        <v>98055.296875</v>
      </c>
      <c r="D37" s="175">
        <v>121.85329437255859</v>
      </c>
      <c r="E37" s="175">
        <v>97994.375</v>
      </c>
      <c r="F37" s="175">
        <v>4619121</v>
      </c>
      <c r="G37" s="176">
        <v>47.107307434082031</v>
      </c>
    </row>
    <row r="38" spans="1:7" x14ac:dyDescent="0.2">
      <c r="A38" s="173">
        <v>35</v>
      </c>
      <c r="B38" s="174">
        <v>1.3151299208402634E-3</v>
      </c>
      <c r="C38" s="175">
        <v>97933.4453125</v>
      </c>
      <c r="D38" s="175">
        <v>128.79521179199219</v>
      </c>
      <c r="E38" s="175">
        <v>97869.046875</v>
      </c>
      <c r="F38" s="175">
        <v>4521126.5</v>
      </c>
      <c r="G38" s="176">
        <v>46.165294647216797</v>
      </c>
    </row>
    <row r="39" spans="1:7" x14ac:dyDescent="0.2">
      <c r="A39" s="173">
        <v>36</v>
      </c>
      <c r="B39" s="174">
        <v>1.3931749854236841E-3</v>
      </c>
      <c r="C39" s="175">
        <v>97804.6484375</v>
      </c>
      <c r="D39" s="175">
        <v>136.25898742675781</v>
      </c>
      <c r="E39" s="175">
        <v>97736.515625</v>
      </c>
      <c r="F39" s="175">
        <v>4423257.5</v>
      </c>
      <c r="G39" s="176">
        <v>45.225433349609375</v>
      </c>
    </row>
    <row r="40" spans="1:7" x14ac:dyDescent="0.2">
      <c r="A40" s="173">
        <v>37</v>
      </c>
      <c r="B40" s="174">
        <v>1.4710781397297978E-3</v>
      </c>
      <c r="C40" s="175">
        <v>97668.390625</v>
      </c>
      <c r="D40" s="175">
        <v>143.67784118652344</v>
      </c>
      <c r="E40" s="175">
        <v>97596.546875</v>
      </c>
      <c r="F40" s="175">
        <v>4325521</v>
      </c>
      <c r="G40" s="176">
        <v>44.287830352783203</v>
      </c>
    </row>
    <row r="41" spans="1:7" x14ac:dyDescent="0.2">
      <c r="A41" s="173">
        <v>38</v>
      </c>
      <c r="B41" s="174">
        <v>1.5481441514566541E-3</v>
      </c>
      <c r="C41" s="175">
        <v>97524.7109375</v>
      </c>
      <c r="D41" s="175">
        <v>150.98231506347656</v>
      </c>
      <c r="E41" s="175">
        <v>97449.21875</v>
      </c>
      <c r="F41" s="175">
        <v>4227924.5</v>
      </c>
      <c r="G41" s="176">
        <v>43.352340698242188</v>
      </c>
    </row>
    <row r="42" spans="1:7" x14ac:dyDescent="0.2">
      <c r="A42" s="173">
        <v>39</v>
      </c>
      <c r="B42" s="174">
        <v>1.6286502359434962E-3</v>
      </c>
      <c r="C42" s="175">
        <v>97373.7265625</v>
      </c>
      <c r="D42" s="175">
        <v>158.58773803710938</v>
      </c>
      <c r="E42" s="175">
        <v>97294.4375</v>
      </c>
      <c r="F42" s="175">
        <v>4130475.5</v>
      </c>
      <c r="G42" s="176">
        <v>42.418788909912109</v>
      </c>
    </row>
    <row r="43" spans="1:7" x14ac:dyDescent="0.2">
      <c r="A43" s="173">
        <v>40</v>
      </c>
      <c r="B43" s="174">
        <v>1.7199784051626921E-3</v>
      </c>
      <c r="C43" s="175">
        <v>97215.140625</v>
      </c>
      <c r="D43" s="175">
        <v>167.20794677734375</v>
      </c>
      <c r="E43" s="175">
        <v>97131.53125</v>
      </c>
      <c r="F43" s="175">
        <v>4033181</v>
      </c>
      <c r="G43" s="176">
        <v>41.487171173095703</v>
      </c>
    </row>
    <row r="44" spans="1:7" x14ac:dyDescent="0.2">
      <c r="A44" s="173">
        <v>41</v>
      </c>
      <c r="B44" s="174">
        <v>1.8262607045471668E-3</v>
      </c>
      <c r="C44" s="175">
        <v>97047.9296875</v>
      </c>
      <c r="D44" s="175">
        <v>177.23481750488281</v>
      </c>
      <c r="E44" s="175">
        <v>96959.3125</v>
      </c>
      <c r="F44" s="175">
        <v>3936049.5</v>
      </c>
      <c r="G44" s="176">
        <v>40.557788848876953</v>
      </c>
    </row>
    <row r="45" spans="1:7" x14ac:dyDescent="0.2">
      <c r="A45" s="173">
        <v>42</v>
      </c>
      <c r="B45" s="174">
        <v>1.9458362367004156E-3</v>
      </c>
      <c r="C45" s="175">
        <v>96870.6953125</v>
      </c>
      <c r="D45" s="175">
        <v>188.4945068359375</v>
      </c>
      <c r="E45" s="175">
        <v>96776.453125</v>
      </c>
      <c r="F45" s="175">
        <v>3839090</v>
      </c>
      <c r="G45" s="176">
        <v>39.631076812744141</v>
      </c>
    </row>
    <row r="46" spans="1:7" x14ac:dyDescent="0.2">
      <c r="A46" s="173">
        <v>43</v>
      </c>
      <c r="B46" s="174">
        <v>2.0787713583558798E-3</v>
      </c>
      <c r="C46" s="175">
        <v>96682.203125</v>
      </c>
      <c r="D46" s="175">
        <v>200.98019409179688</v>
      </c>
      <c r="E46" s="175">
        <v>96581.71875</v>
      </c>
      <c r="F46" s="175">
        <v>3742313.75</v>
      </c>
      <c r="G46" s="176">
        <v>38.707370758056641</v>
      </c>
    </row>
    <row r="47" spans="1:7" x14ac:dyDescent="0.2">
      <c r="A47" s="173">
        <v>44</v>
      </c>
      <c r="B47" s="174">
        <v>2.2257999517023563E-3</v>
      </c>
      <c r="C47" s="175">
        <v>96481.2265625</v>
      </c>
      <c r="D47" s="175">
        <v>214.74790954589844</v>
      </c>
      <c r="E47" s="175">
        <v>96373.8515625</v>
      </c>
      <c r="F47" s="175">
        <v>3645732</v>
      </c>
      <c r="G47" s="176">
        <v>37.786956787109375</v>
      </c>
    </row>
    <row r="48" spans="1:7" x14ac:dyDescent="0.2">
      <c r="A48" s="173">
        <v>45</v>
      </c>
      <c r="B48" s="174">
        <v>2.3925530258566141E-3</v>
      </c>
      <c r="C48" s="175">
        <v>96266.4765625</v>
      </c>
      <c r="D48" s="175">
        <v>230.32264709472656</v>
      </c>
      <c r="E48" s="175">
        <v>96151.3125</v>
      </c>
      <c r="F48" s="175">
        <v>3549358</v>
      </c>
      <c r="G48" s="176">
        <v>36.870136260986328</v>
      </c>
    </row>
    <row r="49" spans="1:7" x14ac:dyDescent="0.2">
      <c r="A49" s="173">
        <v>46</v>
      </c>
      <c r="B49" s="174">
        <v>2.579039428383112E-3</v>
      </c>
      <c r="C49" s="175">
        <v>96036.15625</v>
      </c>
      <c r="D49" s="175">
        <v>247.6810302734375</v>
      </c>
      <c r="E49" s="175">
        <v>95912.3125</v>
      </c>
      <c r="F49" s="175">
        <v>3453206.75</v>
      </c>
      <c r="G49" s="176">
        <v>35.957359313964844</v>
      </c>
    </row>
    <row r="50" spans="1:7" x14ac:dyDescent="0.2">
      <c r="A50" s="173">
        <v>47</v>
      </c>
      <c r="B50" s="174">
        <v>2.7801222167909145E-3</v>
      </c>
      <c r="C50" s="175">
        <v>95788.4765625</v>
      </c>
      <c r="D50" s="175">
        <v>266.30368041992188</v>
      </c>
      <c r="E50" s="175">
        <v>95655.328125</v>
      </c>
      <c r="F50" s="175">
        <v>3357294.5</v>
      </c>
      <c r="G50" s="176">
        <v>35.049045562744141</v>
      </c>
    </row>
    <row r="51" spans="1:7" x14ac:dyDescent="0.2">
      <c r="A51" s="173">
        <v>48</v>
      </c>
      <c r="B51" s="174">
        <v>2.9958090744912624E-3</v>
      </c>
      <c r="C51" s="175">
        <v>95522.171875</v>
      </c>
      <c r="D51" s="175">
        <v>286.16619873046875</v>
      </c>
      <c r="E51" s="175">
        <v>95379.09375</v>
      </c>
      <c r="F51" s="175">
        <v>3261639.25</v>
      </c>
      <c r="G51" s="176">
        <v>34.145362854003906</v>
      </c>
    </row>
    <row r="52" spans="1:7" x14ac:dyDescent="0.2">
      <c r="A52" s="173">
        <v>49</v>
      </c>
      <c r="B52" s="174">
        <v>3.231346607208252E-3</v>
      </c>
      <c r="C52" s="175">
        <v>95236.0078125</v>
      </c>
      <c r="D52" s="175">
        <v>307.74053955078125</v>
      </c>
      <c r="E52" s="175">
        <v>95082.140625</v>
      </c>
      <c r="F52" s="175">
        <v>3166260</v>
      </c>
      <c r="G52" s="176">
        <v>33.2464599609375</v>
      </c>
    </row>
    <row r="53" spans="1:7" x14ac:dyDescent="0.2">
      <c r="A53" s="173">
        <v>50</v>
      </c>
      <c r="B53" s="174">
        <v>3.4843203611671925E-3</v>
      </c>
      <c r="C53" s="175">
        <v>94928.265625</v>
      </c>
      <c r="D53" s="175">
        <v>330.760498046875</v>
      </c>
      <c r="E53" s="175">
        <v>94762.890625</v>
      </c>
      <c r="F53" s="175">
        <v>3071178</v>
      </c>
      <c r="G53" s="176">
        <v>32.352619171142578</v>
      </c>
    </row>
    <row r="54" spans="1:7" x14ac:dyDescent="0.2">
      <c r="A54" s="173">
        <v>51</v>
      </c>
      <c r="B54" s="174">
        <v>3.7678510416299105E-3</v>
      </c>
      <c r="C54" s="175">
        <v>94597.5078125</v>
      </c>
      <c r="D54" s="175">
        <v>356.4293212890625</v>
      </c>
      <c r="E54" s="175">
        <v>94419.296875</v>
      </c>
      <c r="F54" s="175">
        <v>2976415</v>
      </c>
      <c r="G54" s="176">
        <v>31.4639892578125</v>
      </c>
    </row>
    <row r="55" spans="1:7" x14ac:dyDescent="0.2">
      <c r="A55" s="173">
        <v>52</v>
      </c>
      <c r="B55" s="174">
        <v>4.097276832908392E-3</v>
      </c>
      <c r="C55" s="175">
        <v>94241.078125</v>
      </c>
      <c r="D55" s="175">
        <v>386.13177490234375</v>
      </c>
      <c r="E55" s="175">
        <v>94048.015625</v>
      </c>
      <c r="F55" s="175">
        <v>2881995.75</v>
      </c>
      <c r="G55" s="176">
        <v>30.581098556518555</v>
      </c>
    </row>
    <row r="56" spans="1:7" x14ac:dyDescent="0.2">
      <c r="A56" s="173">
        <v>53</v>
      </c>
      <c r="B56" s="174">
        <v>4.4745313934981823E-3</v>
      </c>
      <c r="C56" s="175">
        <v>93854.9453125</v>
      </c>
      <c r="D56" s="175">
        <v>419.9569091796875</v>
      </c>
      <c r="E56" s="175">
        <v>93644.96875</v>
      </c>
      <c r="F56" s="175">
        <v>2787947.75</v>
      </c>
      <c r="G56" s="176">
        <v>29.704856872558594</v>
      </c>
    </row>
    <row r="57" spans="1:7" x14ac:dyDescent="0.2">
      <c r="A57" s="173">
        <v>54</v>
      </c>
      <c r="B57" s="174">
        <v>4.8853233456611633E-3</v>
      </c>
      <c r="C57" s="175">
        <v>93434.9921875</v>
      </c>
      <c r="D57" s="175">
        <v>456.46014404296875</v>
      </c>
      <c r="E57" s="175">
        <v>93206.765625</v>
      </c>
      <c r="F57" s="175">
        <v>2694302.75</v>
      </c>
      <c r="G57" s="176">
        <v>28.83612060546875</v>
      </c>
    </row>
    <row r="58" spans="1:7" x14ac:dyDescent="0.2">
      <c r="A58" s="173">
        <v>55</v>
      </c>
      <c r="B58" s="174">
        <v>5.3003649227321148E-3</v>
      </c>
      <c r="C58" s="175">
        <v>92978.53125</v>
      </c>
      <c r="D58" s="175">
        <v>492.82015991210938</v>
      </c>
      <c r="E58" s="175">
        <v>92732.125</v>
      </c>
      <c r="F58" s="175">
        <v>2601096</v>
      </c>
      <c r="G58" s="176">
        <v>27.97523307800293</v>
      </c>
    </row>
    <row r="59" spans="1:7" x14ac:dyDescent="0.2">
      <c r="A59" s="173">
        <v>56</v>
      </c>
      <c r="B59" s="174">
        <v>5.7250033132731915E-3</v>
      </c>
      <c r="C59" s="175">
        <v>92485.7109375</v>
      </c>
      <c r="D59" s="175">
        <v>529.48101806640625</v>
      </c>
      <c r="E59" s="175">
        <v>92220.96875</v>
      </c>
      <c r="F59" s="175">
        <v>2508363.75</v>
      </c>
      <c r="G59" s="176">
        <v>27.121635437011719</v>
      </c>
    </row>
    <row r="60" spans="1:7" x14ac:dyDescent="0.2">
      <c r="A60" s="173">
        <v>57</v>
      </c>
      <c r="B60" s="174">
        <v>6.1917328275740147E-3</v>
      </c>
      <c r="C60" s="175">
        <v>91956.2265625</v>
      </c>
      <c r="D60" s="175">
        <v>569.368408203125</v>
      </c>
      <c r="E60" s="175">
        <v>91671.546875</v>
      </c>
      <c r="F60" s="175">
        <v>2416143</v>
      </c>
      <c r="G60" s="176">
        <v>26.274925231933594</v>
      </c>
    </row>
    <row r="61" spans="1:7" x14ac:dyDescent="0.2">
      <c r="A61" s="173">
        <v>58</v>
      </c>
      <c r="B61" s="174">
        <v>6.7171393893659115E-3</v>
      </c>
      <c r="C61" s="175">
        <v>91386.859375</v>
      </c>
      <c r="D61" s="175">
        <v>613.8582763671875</v>
      </c>
      <c r="E61" s="175">
        <v>91079.9296875</v>
      </c>
      <c r="F61" s="175">
        <v>2324471.25</v>
      </c>
      <c r="G61" s="176">
        <v>25.435508728027344</v>
      </c>
    </row>
    <row r="62" spans="1:7" x14ac:dyDescent="0.2">
      <c r="A62" s="173">
        <v>59</v>
      </c>
      <c r="B62" s="174">
        <v>7.2957482188940048E-3</v>
      </c>
      <c r="C62" s="175">
        <v>90773</v>
      </c>
      <c r="D62" s="175">
        <v>662.2569580078125</v>
      </c>
      <c r="E62" s="175">
        <v>90441.875</v>
      </c>
      <c r="F62" s="175">
        <v>2233391.5</v>
      </c>
      <c r="G62" s="176">
        <v>24.60413932800293</v>
      </c>
    </row>
    <row r="63" spans="1:7" x14ac:dyDescent="0.2">
      <c r="A63" s="173">
        <v>60</v>
      </c>
      <c r="B63" s="174">
        <v>7.9277195036411285E-3</v>
      </c>
      <c r="C63" s="175">
        <v>90110.7421875</v>
      </c>
      <c r="D63" s="175">
        <v>714.3726806640625</v>
      </c>
      <c r="E63" s="175">
        <v>89753.5546875</v>
      </c>
      <c r="F63" s="175">
        <v>2142949.5</v>
      </c>
      <c r="G63" s="176">
        <v>23.781288146972656</v>
      </c>
    </row>
    <row r="64" spans="1:7" x14ac:dyDescent="0.2">
      <c r="A64" s="173">
        <v>61</v>
      </c>
      <c r="B64" s="174">
        <v>8.5777658969163895E-3</v>
      </c>
      <c r="C64" s="175">
        <v>89396.3671875</v>
      </c>
      <c r="D64" s="175">
        <v>766.82110595703125</v>
      </c>
      <c r="E64" s="175">
        <v>89012.953125</v>
      </c>
      <c r="F64" s="175">
        <v>2053196</v>
      </c>
      <c r="G64" s="176">
        <v>22.967330932617188</v>
      </c>
    </row>
    <row r="65" spans="1:7" x14ac:dyDescent="0.2">
      <c r="A65" s="173">
        <v>62</v>
      </c>
      <c r="B65" s="174">
        <v>9.2172883450984955E-3</v>
      </c>
      <c r="C65" s="175">
        <v>88629.546875</v>
      </c>
      <c r="D65" s="175">
        <v>816.924072265625</v>
      </c>
      <c r="E65" s="175">
        <v>88221.0859375</v>
      </c>
      <c r="F65" s="175">
        <v>1964183</v>
      </c>
      <c r="G65" s="176">
        <v>22.161718368530273</v>
      </c>
    </row>
    <row r="66" spans="1:7" x14ac:dyDescent="0.2">
      <c r="A66" s="173">
        <v>63</v>
      </c>
      <c r="B66" s="174">
        <v>9.8342848941683769E-3</v>
      </c>
      <c r="C66" s="175">
        <v>87812.625</v>
      </c>
      <c r="D66" s="175">
        <v>863.57440185546875</v>
      </c>
      <c r="E66" s="175">
        <v>87380.8359375</v>
      </c>
      <c r="F66" s="175">
        <v>1875961.875</v>
      </c>
      <c r="G66" s="176">
        <v>21.363237380981445</v>
      </c>
    </row>
    <row r="67" spans="1:7" x14ac:dyDescent="0.2">
      <c r="A67" s="173">
        <v>64</v>
      </c>
      <c r="B67" s="174">
        <v>1.0462209582328796E-2</v>
      </c>
      <c r="C67" s="175">
        <v>86949.046875</v>
      </c>
      <c r="D67" s="175">
        <v>909.67913818359375</v>
      </c>
      <c r="E67" s="175">
        <v>86494.203125</v>
      </c>
      <c r="F67" s="175">
        <v>1788581.125</v>
      </c>
      <c r="G67" s="176">
        <v>20.570451736450195</v>
      </c>
    </row>
    <row r="68" spans="1:7" x14ac:dyDescent="0.2">
      <c r="A68" s="173">
        <v>65</v>
      </c>
      <c r="B68" s="174">
        <v>1.1128720827400684E-2</v>
      </c>
      <c r="C68" s="175">
        <v>86039.3671875</v>
      </c>
      <c r="D68" s="175">
        <v>957.50811767578125</v>
      </c>
      <c r="E68" s="175">
        <v>85560.609375</v>
      </c>
      <c r="F68" s="175">
        <v>1702086.875</v>
      </c>
      <c r="G68" s="176">
        <v>19.782651901245117</v>
      </c>
    </row>
    <row r="69" spans="1:7" x14ac:dyDescent="0.2">
      <c r="A69" s="173">
        <v>66</v>
      </c>
      <c r="B69" s="174">
        <v>1.1932274326682091E-2</v>
      </c>
      <c r="C69" s="175">
        <v>85081.859375</v>
      </c>
      <c r="D69" s="175">
        <v>1015.2200927734375</v>
      </c>
      <c r="E69" s="175">
        <v>84574.25</v>
      </c>
      <c r="F69" s="175">
        <v>1616526.25</v>
      </c>
      <c r="G69" s="176">
        <v>18.999658584594727</v>
      </c>
    </row>
    <row r="70" spans="1:7" x14ac:dyDescent="0.2">
      <c r="A70" s="173">
        <v>67</v>
      </c>
      <c r="B70" s="174">
        <v>1.2870612554252148E-2</v>
      </c>
      <c r="C70" s="175">
        <v>84066.640625</v>
      </c>
      <c r="D70" s="175">
        <v>1081.9891357421875</v>
      </c>
      <c r="E70" s="175">
        <v>83525.640625</v>
      </c>
      <c r="F70" s="175">
        <v>1531952</v>
      </c>
      <c r="G70" s="176">
        <v>18.223066329956055</v>
      </c>
    </row>
    <row r="71" spans="1:7" x14ac:dyDescent="0.2">
      <c r="A71" s="173">
        <v>68</v>
      </c>
      <c r="B71" s="174">
        <v>1.3999505899846554E-2</v>
      </c>
      <c r="C71" s="175">
        <v>82984.6484375</v>
      </c>
      <c r="D71" s="175">
        <v>1161.7440185546875</v>
      </c>
      <c r="E71" s="175">
        <v>82403.78125</v>
      </c>
      <c r="F71" s="175">
        <v>1448426.375</v>
      </c>
      <c r="G71" s="176">
        <v>17.45414924621582</v>
      </c>
    </row>
    <row r="72" spans="1:7" x14ac:dyDescent="0.2">
      <c r="A72" s="173">
        <v>69</v>
      </c>
      <c r="B72" s="174">
        <v>1.5264760702848434E-2</v>
      </c>
      <c r="C72" s="175">
        <v>81822.90625</v>
      </c>
      <c r="D72" s="175">
        <v>1249.007080078125</v>
      </c>
      <c r="E72" s="175">
        <v>81198.40625</v>
      </c>
      <c r="F72" s="175">
        <v>1366022.625</v>
      </c>
      <c r="G72" s="176">
        <v>16.694868087768555</v>
      </c>
    </row>
    <row r="73" spans="1:7" x14ac:dyDescent="0.2">
      <c r="A73" s="173">
        <v>70</v>
      </c>
      <c r="B73" s="174">
        <v>1.6692837700247765E-2</v>
      </c>
      <c r="C73" s="175">
        <v>80573.8984375</v>
      </c>
      <c r="D73" s="175">
        <v>1345.0069580078125</v>
      </c>
      <c r="E73" s="175">
        <v>79901.390625</v>
      </c>
      <c r="F73" s="175">
        <v>1284824.25</v>
      </c>
      <c r="G73" s="176">
        <v>15.945911407470703</v>
      </c>
    </row>
    <row r="74" spans="1:7" x14ac:dyDescent="0.2">
      <c r="A74" s="173">
        <v>71</v>
      </c>
      <c r="B74" s="174">
        <v>1.8272092565894127E-2</v>
      </c>
      <c r="C74" s="175">
        <v>79228.890625</v>
      </c>
      <c r="D74" s="175">
        <v>1447.6776123046875</v>
      </c>
      <c r="E74" s="175">
        <v>78505.046875</v>
      </c>
      <c r="F74" s="175">
        <v>1204922.875</v>
      </c>
      <c r="G74" s="176">
        <v>15.208125114440918</v>
      </c>
    </row>
    <row r="75" spans="1:7" x14ac:dyDescent="0.2">
      <c r="A75" s="173">
        <v>72</v>
      </c>
      <c r="B75" s="174">
        <v>2.0045559853315353E-2</v>
      </c>
      <c r="C75" s="175">
        <v>77781.2109375</v>
      </c>
      <c r="D75" s="175">
        <v>1559.16796875</v>
      </c>
      <c r="E75" s="175">
        <v>77001.625</v>
      </c>
      <c r="F75" s="175">
        <v>1126417.75</v>
      </c>
      <c r="G75" s="176">
        <v>14.481874465942383</v>
      </c>
    </row>
    <row r="76" spans="1:7" x14ac:dyDescent="0.2">
      <c r="A76" s="173">
        <v>73</v>
      </c>
      <c r="B76" s="174">
        <v>2.1729562431573868E-2</v>
      </c>
      <c r="C76" s="175">
        <v>76222.046875</v>
      </c>
      <c r="D76" s="175">
        <v>1656.271728515625</v>
      </c>
      <c r="E76" s="175">
        <v>75393.90625</v>
      </c>
      <c r="F76" s="175">
        <v>1049416.125</v>
      </c>
      <c r="G76" s="176">
        <v>13.767881393432617</v>
      </c>
    </row>
    <row r="77" spans="1:7" x14ac:dyDescent="0.2">
      <c r="A77" s="173">
        <v>74</v>
      </c>
      <c r="B77" s="174">
        <v>2.4519480764865875E-2</v>
      </c>
      <c r="C77" s="175">
        <v>74565.7734375</v>
      </c>
      <c r="D77" s="175">
        <v>1828.3140869140625</v>
      </c>
      <c r="E77" s="175">
        <v>73651.6171875</v>
      </c>
      <c r="F77" s="175">
        <v>974022.25</v>
      </c>
      <c r="G77" s="176">
        <v>13.062591552734375</v>
      </c>
    </row>
    <row r="78" spans="1:7" x14ac:dyDescent="0.2">
      <c r="A78" s="173">
        <v>75</v>
      </c>
      <c r="B78" s="174">
        <v>2.6862218976020813E-2</v>
      </c>
      <c r="C78" s="175">
        <v>72737.4609375</v>
      </c>
      <c r="D78" s="175">
        <v>1953.8896484375</v>
      </c>
      <c r="E78" s="175">
        <v>71760.515625</v>
      </c>
      <c r="F78" s="175">
        <v>900370.625</v>
      </c>
      <c r="G78" s="176">
        <v>12.378361701965332</v>
      </c>
    </row>
    <row r="79" spans="1:7" x14ac:dyDescent="0.2">
      <c r="A79" s="173">
        <v>76</v>
      </c>
      <c r="B79" s="174">
        <v>2.9941828921437263E-2</v>
      </c>
      <c r="C79" s="175">
        <v>70783.5703125</v>
      </c>
      <c r="D79" s="175">
        <v>2119.3896484375</v>
      </c>
      <c r="E79" s="175">
        <v>69723.875</v>
      </c>
      <c r="F79" s="175">
        <v>828610.125</v>
      </c>
      <c r="G79" s="176">
        <v>11.706249237060547</v>
      </c>
    </row>
    <row r="80" spans="1:7" x14ac:dyDescent="0.2">
      <c r="A80" s="173">
        <v>77</v>
      </c>
      <c r="B80" s="174">
        <v>3.3036854118108749E-2</v>
      </c>
      <c r="C80" s="175">
        <v>68664.1796875</v>
      </c>
      <c r="D80" s="175">
        <v>2268.448486328125</v>
      </c>
      <c r="E80" s="175">
        <v>67529.953125</v>
      </c>
      <c r="F80" s="175">
        <v>758886.25</v>
      </c>
      <c r="G80" s="176">
        <v>11.052142143249512</v>
      </c>
    </row>
    <row r="81" spans="1:7" x14ac:dyDescent="0.2">
      <c r="A81" s="173">
        <v>78</v>
      </c>
      <c r="B81" s="174">
        <v>3.7086360156536102E-2</v>
      </c>
      <c r="C81" s="175">
        <v>66395.734375</v>
      </c>
      <c r="D81" s="175">
        <v>2462.376220703125</v>
      </c>
      <c r="E81" s="175">
        <v>65164.546875</v>
      </c>
      <c r="F81" s="175">
        <v>691356.25</v>
      </c>
      <c r="G81" s="176">
        <v>10.412660598754883</v>
      </c>
    </row>
    <row r="82" spans="1:7" x14ac:dyDescent="0.2">
      <c r="A82" s="173">
        <v>79</v>
      </c>
      <c r="B82" s="174">
        <v>4.1213382035493851E-2</v>
      </c>
      <c r="C82" s="175">
        <v>63933.359375</v>
      </c>
      <c r="D82" s="175">
        <v>2634.909912109375</v>
      </c>
      <c r="E82" s="175">
        <v>62615.90625</v>
      </c>
      <c r="F82" s="175">
        <v>626191.75</v>
      </c>
      <c r="G82" s="176">
        <v>9.7944450378417969</v>
      </c>
    </row>
    <row r="83" spans="1:7" x14ac:dyDescent="0.2">
      <c r="A83" s="173">
        <v>80</v>
      </c>
      <c r="B83" s="174">
        <v>4.5945137739181519E-2</v>
      </c>
      <c r="C83" s="175">
        <v>61298.44921875</v>
      </c>
      <c r="D83" s="175">
        <v>2816.36572265625</v>
      </c>
      <c r="E83" s="175">
        <v>59890.265625</v>
      </c>
      <c r="F83" s="175">
        <v>563575.8125</v>
      </c>
      <c r="G83" s="176">
        <v>9.193964958190918</v>
      </c>
    </row>
    <row r="84" spans="1:7" x14ac:dyDescent="0.2">
      <c r="A84" s="173">
        <v>81</v>
      </c>
      <c r="B84" s="174">
        <v>5.1104221493005753E-2</v>
      </c>
      <c r="C84" s="175">
        <v>58482.08203125</v>
      </c>
      <c r="D84" s="175">
        <v>2988.68115234375</v>
      </c>
      <c r="E84" s="175">
        <v>56987.7421875</v>
      </c>
      <c r="F84" s="175">
        <v>503685.5625</v>
      </c>
      <c r="G84" s="176">
        <v>8.6126480102539062</v>
      </c>
    </row>
    <row r="85" spans="1:7" x14ac:dyDescent="0.2">
      <c r="A85" s="173">
        <v>82</v>
      </c>
      <c r="B85" s="174">
        <v>5.7111047208309174E-2</v>
      </c>
      <c r="C85" s="175">
        <v>55493.40234375</v>
      </c>
      <c r="D85" s="175">
        <v>3169.286376953125</v>
      </c>
      <c r="E85" s="175">
        <v>53908.7578125</v>
      </c>
      <c r="F85" s="175">
        <v>446697.8125</v>
      </c>
      <c r="G85" s="176">
        <v>8.0495662689208984</v>
      </c>
    </row>
    <row r="86" spans="1:7" x14ac:dyDescent="0.2">
      <c r="A86" s="173">
        <v>83</v>
      </c>
      <c r="B86" s="174">
        <v>6.416301429271698E-2</v>
      </c>
      <c r="C86" s="175">
        <v>52324.1171875</v>
      </c>
      <c r="D86" s="175">
        <v>3357.273193359375</v>
      </c>
      <c r="E86" s="175">
        <v>50645.48046875</v>
      </c>
      <c r="F86" s="175">
        <v>392789.0625</v>
      </c>
      <c r="G86" s="176">
        <v>7.5068454742431641</v>
      </c>
    </row>
    <row r="87" spans="1:7" x14ac:dyDescent="0.2">
      <c r="A87" s="173">
        <v>84</v>
      </c>
      <c r="B87" s="174">
        <v>7.2352766990661621E-2</v>
      </c>
      <c r="C87" s="175">
        <v>48966.84375</v>
      </c>
      <c r="D87" s="175">
        <v>3542.88671875</v>
      </c>
      <c r="E87" s="175">
        <v>47195.3984375</v>
      </c>
      <c r="F87" s="175">
        <v>342143.59375</v>
      </c>
      <c r="G87" s="176">
        <v>6.9872503280639648</v>
      </c>
    </row>
    <row r="88" spans="1:7" x14ac:dyDescent="0.2">
      <c r="A88" s="173">
        <v>85</v>
      </c>
      <c r="B88" s="174">
        <v>8.1450983881950378E-2</v>
      </c>
      <c r="C88" s="175">
        <v>45423.95703125</v>
      </c>
      <c r="D88" s="175">
        <v>3699.825927734375</v>
      </c>
      <c r="E88" s="175">
        <v>43574.046875</v>
      </c>
      <c r="F88" s="175">
        <v>294948.1875</v>
      </c>
      <c r="G88" s="176">
        <v>6.493229866027832</v>
      </c>
    </row>
    <row r="89" spans="1:7" x14ac:dyDescent="0.2">
      <c r="A89" s="173">
        <v>86</v>
      </c>
      <c r="B89" s="174">
        <v>9.0029276907444E-2</v>
      </c>
      <c r="C89" s="175">
        <v>41724.1328125</v>
      </c>
      <c r="D89" s="175">
        <v>3756.3935546875</v>
      </c>
      <c r="E89" s="175">
        <v>39845.9375</v>
      </c>
      <c r="F89" s="175">
        <v>251374.140625</v>
      </c>
      <c r="G89" s="176">
        <v>6.0246701240539551</v>
      </c>
    </row>
    <row r="90" spans="1:7" x14ac:dyDescent="0.2">
      <c r="A90" s="173">
        <v>87</v>
      </c>
      <c r="B90" s="174">
        <v>0.10189624130725861</v>
      </c>
      <c r="C90" s="175">
        <v>37967.73828125</v>
      </c>
      <c r="D90" s="175">
        <v>3868.769775390625</v>
      </c>
      <c r="E90" s="175">
        <v>36033.3515625</v>
      </c>
      <c r="F90" s="175">
        <v>211528.203125</v>
      </c>
      <c r="G90" s="176">
        <v>5.5712614059448242</v>
      </c>
    </row>
    <row r="91" spans="1:7" x14ac:dyDescent="0.2">
      <c r="A91" s="173">
        <v>88</v>
      </c>
      <c r="B91" s="174">
        <v>0.1150154173374176</v>
      </c>
      <c r="C91" s="175">
        <v>34098.96875</v>
      </c>
      <c r="D91" s="175">
        <v>3921.9072265625</v>
      </c>
      <c r="E91" s="175">
        <v>32138.015625</v>
      </c>
      <c r="F91" s="175">
        <v>175494.84375</v>
      </c>
      <c r="G91" s="176">
        <v>5.146632194519043</v>
      </c>
    </row>
    <row r="92" spans="1:7" x14ac:dyDescent="0.2">
      <c r="A92" s="173">
        <v>89</v>
      </c>
      <c r="B92" s="174">
        <v>0.12943658232688904</v>
      </c>
      <c r="C92" s="175">
        <v>30177.0625</v>
      </c>
      <c r="D92" s="175">
        <v>3906.015869140625</v>
      </c>
      <c r="E92" s="175">
        <v>28224.0546875</v>
      </c>
      <c r="F92" s="175">
        <v>143356.828125</v>
      </c>
      <c r="G92" s="176">
        <v>4.7505230903625488</v>
      </c>
    </row>
    <row r="93" spans="1:7" x14ac:dyDescent="0.2">
      <c r="A93" s="173">
        <v>90</v>
      </c>
      <c r="B93" s="174">
        <v>0.14519003033638</v>
      </c>
      <c r="C93" s="175">
        <v>26271.046875</v>
      </c>
      <c r="D93" s="175">
        <v>3814.294189453125</v>
      </c>
      <c r="E93" s="175">
        <v>24363.8984375</v>
      </c>
      <c r="F93" s="175">
        <v>115132.7734375</v>
      </c>
      <c r="G93" s="176">
        <v>4.3824963569641113</v>
      </c>
    </row>
    <row r="94" spans="1:7" x14ac:dyDescent="0.2">
      <c r="A94" s="173">
        <v>91</v>
      </c>
      <c r="B94" s="174">
        <v>0.16228163242340088</v>
      </c>
      <c r="C94" s="175">
        <v>22456.751953125</v>
      </c>
      <c r="D94" s="175">
        <v>3644.318359375</v>
      </c>
      <c r="E94" s="175">
        <v>20634.59375</v>
      </c>
      <c r="F94" s="175">
        <v>90768.875</v>
      </c>
      <c r="G94" s="176">
        <v>4.0419411659240723</v>
      </c>
    </row>
    <row r="95" spans="1:7" x14ac:dyDescent="0.2">
      <c r="A95" s="173">
        <v>92</v>
      </c>
      <c r="B95" s="174">
        <v>0.18068808317184448</v>
      </c>
      <c r="C95" s="175">
        <v>18812.43359375</v>
      </c>
      <c r="D95" s="175">
        <v>3399.1826171875</v>
      </c>
      <c r="E95" s="175">
        <v>17112.841796875</v>
      </c>
      <c r="F95" s="175">
        <v>70134.28125</v>
      </c>
      <c r="G95" s="176">
        <v>3.728081226348877</v>
      </c>
    </row>
    <row r="96" spans="1:7" x14ac:dyDescent="0.2">
      <c r="A96" s="173">
        <v>93</v>
      </c>
      <c r="B96" s="174">
        <v>0.2003529816865921</v>
      </c>
      <c r="C96" s="175">
        <v>15413.2509765625</v>
      </c>
      <c r="D96" s="175">
        <v>3088.0908203125</v>
      </c>
      <c r="E96" s="175">
        <v>13869.205078125</v>
      </c>
      <c r="F96" s="175">
        <v>53021.44140625</v>
      </c>
      <c r="G96" s="176">
        <v>3.439990758895874</v>
      </c>
    </row>
    <row r="97" spans="1:7" x14ac:dyDescent="0.2">
      <c r="A97" s="173">
        <v>94</v>
      </c>
      <c r="B97" s="174">
        <v>0.22118398547172546</v>
      </c>
      <c r="C97" s="175">
        <v>12325.16015625</v>
      </c>
      <c r="D97" s="175">
        <v>2726.1279296875</v>
      </c>
      <c r="E97" s="175">
        <v>10962.095703125</v>
      </c>
      <c r="F97" s="175">
        <v>39152.23828125</v>
      </c>
      <c r="G97" s="176">
        <v>3.1766109466552734</v>
      </c>
    </row>
    <row r="98" spans="1:7" x14ac:dyDescent="0.2">
      <c r="A98" s="173">
        <v>95</v>
      </c>
      <c r="B98" s="174">
        <v>0.24305197596549988</v>
      </c>
      <c r="C98" s="175">
        <v>9599.0322265625</v>
      </c>
      <c r="D98" s="175">
        <v>2333.063720703125</v>
      </c>
      <c r="E98" s="175">
        <v>8432.5</v>
      </c>
      <c r="F98" s="175">
        <v>28190.142578125</v>
      </c>
      <c r="G98" s="176">
        <v>2.9367692470550537</v>
      </c>
    </row>
    <row r="99" spans="1:7" x14ac:dyDescent="0.2">
      <c r="A99" s="173">
        <v>96</v>
      </c>
      <c r="B99" s="174">
        <v>0.26579201221466064</v>
      </c>
      <c r="C99" s="175">
        <v>7265.96875</v>
      </c>
      <c r="D99" s="175">
        <v>1931.2364501953125</v>
      </c>
      <c r="E99" s="175">
        <v>6300.3505859375</v>
      </c>
      <c r="F99" s="175">
        <v>19757.642578125</v>
      </c>
      <c r="G99" s="176">
        <v>2.7192027568817139</v>
      </c>
    </row>
    <row r="100" spans="1:7" x14ac:dyDescent="0.2">
      <c r="A100" s="173">
        <v>97</v>
      </c>
      <c r="B100" s="174">
        <v>0.28920713067054749</v>
      </c>
      <c r="C100" s="175">
        <v>5334.732421875</v>
      </c>
      <c r="D100" s="175">
        <v>1542.8426513671875</v>
      </c>
      <c r="E100" s="175">
        <v>4563.31103515625</v>
      </c>
      <c r="F100" s="175">
        <v>13457.2919921875</v>
      </c>
      <c r="G100" s="176">
        <v>2.5225803852081299</v>
      </c>
    </row>
    <row r="101" spans="1:7" x14ac:dyDescent="0.2">
      <c r="A101" s="173">
        <v>98</v>
      </c>
      <c r="B101" s="174">
        <v>0.3130740225315094</v>
      </c>
      <c r="C101" s="175">
        <v>3791.8896484375</v>
      </c>
      <c r="D101" s="175">
        <v>1187.14208984375</v>
      </c>
      <c r="E101" s="175">
        <v>3198.318603515625</v>
      </c>
      <c r="F101" s="175">
        <v>8893.98046875</v>
      </c>
      <c r="G101" s="176">
        <v>2.345527172088623</v>
      </c>
    </row>
    <row r="102" spans="1:7" x14ac:dyDescent="0.2">
      <c r="A102" s="173">
        <v>99</v>
      </c>
      <c r="B102" s="174">
        <v>0.33715125918388367</v>
      </c>
      <c r="C102" s="175">
        <v>2604.74755859375</v>
      </c>
      <c r="D102" s="175">
        <v>878.19390869140625</v>
      </c>
      <c r="E102" s="175">
        <v>2165.650634765625</v>
      </c>
      <c r="F102" s="175">
        <v>5695.662109375</v>
      </c>
      <c r="G102" s="176">
        <v>2.1866464614868164</v>
      </c>
    </row>
    <row r="103" spans="1:7" x14ac:dyDescent="0.2">
      <c r="A103" s="177">
        <v>100</v>
      </c>
      <c r="B103" s="178">
        <v>1</v>
      </c>
      <c r="C103" s="179">
        <v>1726.5537109375</v>
      </c>
      <c r="D103" s="179">
        <v>1726.5537109375</v>
      </c>
      <c r="E103" s="179">
        <v>3530.01123046875</v>
      </c>
      <c r="F103" s="179">
        <v>3530.01123046875</v>
      </c>
      <c r="G103" s="180">
        <v>2.0445418357849121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A270-617B-C142-BE35-4980EF3F6FB1}">
  <dimension ref="A1:Y113"/>
  <sheetViews>
    <sheetView zoomScaleNormal="100" workbookViewId="0">
      <selection activeCell="G10" sqref="G10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22.83203125" style="1" bestFit="1" customWidth="1"/>
    <col min="22" max="22" width="6.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16384" width="8.83203125" style="1"/>
  </cols>
  <sheetData>
    <row r="1" spans="1:25" x14ac:dyDescent="0.2">
      <c r="A1" s="1" t="s">
        <v>262</v>
      </c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82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SUM(pStage1Remission*F3,pStage2Remission*I3,(1-SUM(pRemissionStage1, pRemissionStage2))*O3)*(1-'Life Table - Female'!B58)</f>
        <v>0</v>
      </c>
      <c r="P4" s="19">
        <f t="shared" ref="P4:P33" si="9">O4*SUM(nVisitsRemission*cVisit,cTreatmentRemission)*W4/(1+discount_rate)^A4</f>
        <v>0</v>
      </c>
      <c r="Q4" s="23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81">
        <f>SUM(B3*'Life Table - Female'!B58,U3)</f>
        <v>5.3003649227321148</v>
      </c>
      <c r="V4" s="49">
        <f>SUM(C4,F4,I4,L4,O4,R4-R3,U4-U3)-B3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SUM(pStage1Remission*F4,pStage2Remission*I4,(1-SUM(pRemissionStage1, pRemissionStage2))*O4)*(1-'Life Table - Female'!B59)</f>
        <v>16.318582110117191</v>
      </c>
      <c r="P5" s="19">
        <f t="shared" si="9"/>
        <v>10254.552493239822</v>
      </c>
      <c r="Q5" s="23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81">
        <f>SUM(B4*'Life Table - Female'!B59,U4)</f>
        <v>10.995023629261109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985642.72612901602</v>
      </c>
      <c r="Y5" s="25">
        <f t="shared" si="15"/>
        <v>1197.8759164333464</v>
      </c>
    </row>
    <row r="6" spans="1:25" x14ac:dyDescent="0.2">
      <c r="A6" s="10">
        <v>3</v>
      </c>
      <c r="B6" s="15">
        <f t="shared" si="13"/>
        <v>970.85085441317722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SUM(pHealthyStage1*C5,(1-SUM(pStage1Remission,pStage1Stage2))*F5,pStage2Stage1*I5,pRemissionStage1*O5)*(1-'Life Table - Female'!B60)</f>
        <v>95.771955995403729</v>
      </c>
      <c r="G6" s="19">
        <f t="shared" si="3"/>
        <v>93487.900511073647</v>
      </c>
      <c r="H6" s="20">
        <f t="shared" si="4"/>
        <v>51.41834528109051</v>
      </c>
      <c r="I6" s="27">
        <f>SUM(pHealthyStage2*C5,pStage1Stage2*F5,(1-SUM(pStage2Remission, pStage2Stage1, pStage2Stage3))*I5,pStage3Stage2*L5,pRemissionStage2*O5)*(1-'Life Table - Female'!B60)</f>
        <v>47.279540222156257</v>
      </c>
      <c r="J6" s="19">
        <f t="shared" si="5"/>
        <v>207683.88908332094</v>
      </c>
      <c r="K6" s="20">
        <f t="shared" si="6"/>
        <v>20.479939062383036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SUM(pStage1Remission*F5,pStage2Remission*I5,(1-SUM(pRemissionStage1, pRemissionStage2))*O5)*(1-'Life Table - Female'!B60)</f>
        <v>40.37676469921167</v>
      </c>
      <c r="P6" s="19">
        <f t="shared" si="9"/>
        <v>12316.819815382882</v>
      </c>
      <c r="Q6" s="23">
        <f t="shared" si="10"/>
        <v>23.401957649227473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81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625796.62705458282</v>
      </c>
      <c r="Y6" s="25">
        <f t="shared" si="15"/>
        <v>567.0869942854788</v>
      </c>
    </row>
    <row r="7" spans="1:25" x14ac:dyDescent="0.2">
      <c r="A7" s="10">
        <v>4</v>
      </c>
      <c r="B7" s="15">
        <f t="shared" si="13"/>
        <v>954.46709289890134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SUM(pHealthyStage1*C6,(1-SUM(pStage1Remission,pStage1Stage2))*F6,pStage2Stage1*I6,pRemissionStage1*O6)*(1-'Life Table - Female'!B61)</f>
        <v>106.20311400702286</v>
      </c>
      <c r="G7" s="19">
        <f t="shared" si="3"/>
        <v>201301.52798624663</v>
      </c>
      <c r="H7" s="20">
        <f t="shared" si="4"/>
        <v>110.71584039243564</v>
      </c>
      <c r="I7" s="27">
        <f>SUM(pHealthyStage2*C6,pStage1Stage2*F6,(1-SUM(pStage2Remission, pStage2Stage1, pStage2Stage3))*I6,pStage3Stage2*L6,pRemissionStage2*O6)*(1-'Life Table - Female'!B61)</f>
        <v>55.995477891813081</v>
      </c>
      <c r="J7" s="19">
        <f t="shared" si="5"/>
        <v>477612.06574776216</v>
      </c>
      <c r="K7" s="20">
        <f t="shared" si="6"/>
        <v>47.097856483459879</v>
      </c>
      <c r="L7" s="27">
        <f>SUM(pHealthyStage3*C6,pStage2Stage3*I6,(1-SUM(pStage3Death, pStage3Stage2))*L6)*(1-'Life Table - Female'!B61)</f>
        <v>25.604707849052613</v>
      </c>
      <c r="M7" s="19">
        <f t="shared" si="7"/>
        <v>703716.35989003128</v>
      </c>
      <c r="N7" s="20">
        <f t="shared" si="8"/>
        <v>10.919736618983244</v>
      </c>
      <c r="O7" s="27">
        <f>SUM(pStage1Remission*F6,pStage2Remission*I6,(1-SUM(pRemissionStage1, pRemissionStage2))*O6)*(1-'Life Table - Female'!B61)</f>
        <v>67.264268087631493</v>
      </c>
      <c r="P7" s="19">
        <f t="shared" si="9"/>
        <v>39842.287322259464</v>
      </c>
      <c r="Q7" s="23">
        <f t="shared" si="10"/>
        <v>75.70034591229296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81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1422472.2409462994</v>
      </c>
      <c r="Y7" s="25">
        <f t="shared" si="15"/>
        <v>1072.9770051901032</v>
      </c>
    </row>
    <row r="8" spans="1:25" x14ac:dyDescent="0.2">
      <c r="A8" s="10">
        <v>5</v>
      </c>
      <c r="B8" s="15">
        <f t="shared" si="13"/>
        <v>936.06548524957566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SUM(pHealthyStage1*C7,(1-SUM(pStage1Remission,pStage1Stage2))*F7,pStage2Stage1*I7,pRemissionStage1*O7)*(1-'Life Table - Female'!B62)</f>
        <v>112.69992789040207</v>
      </c>
      <c r="G8" s="19">
        <f t="shared" si="3"/>
        <v>103697.01098423752</v>
      </c>
      <c r="H8" s="20">
        <f t="shared" si="4"/>
        <v>57.033356041330627</v>
      </c>
      <c r="I8" s="27">
        <f>SUM(pHealthyStage2*C7,pStage1Stage2*F7,(1-SUM(pStage2Remission, pStage2Stage1, pStage2Stage3))*I7,pStage3Stage2*L7,pRemissionStage2*O7)*(1-'Life Table - Female'!B62)</f>
        <v>62.390506680974447</v>
      </c>
      <c r="J8" s="19">
        <f t="shared" si="5"/>
        <v>258329.27580089969</v>
      </c>
      <c r="K8" s="20">
        <f t="shared" si="6"/>
        <v>25.474136919255386</v>
      </c>
      <c r="L8" s="27">
        <f>SUM(pHealthyStage3*C7,pStage2Stage3*I7,(1-SUM(pStage3Death, pStage3Stage2))*L7)*(1-'Life Table - Female'!B62)</f>
        <v>27.989962343482507</v>
      </c>
      <c r="M8" s="19">
        <f t="shared" si="7"/>
        <v>373433.19166401553</v>
      </c>
      <c r="N8" s="20">
        <f t="shared" si="8"/>
        <v>5.7946529740967927</v>
      </c>
      <c r="O8" s="27">
        <f>SUM(pStage1Remission*F7,pStage2Remission*I7,(1-SUM(pRemissionStage1, pRemissionStage2))*O7)*(1-'Life Table - Female'!B62)</f>
        <v>94.231956688540379</v>
      </c>
      <c r="P8" s="19">
        <f t="shared" si="9"/>
        <v>27095.104536414336</v>
      </c>
      <c r="Q8" s="23">
        <f t="shared" si="10"/>
        <v>51.480698619187237</v>
      </c>
      <c r="R8" s="27">
        <f>SUM(pStage3Death*L7*(1-'Life Table - Female'!B62),R7)</f>
        <v>33.358500879550888</v>
      </c>
      <c r="S8" s="19">
        <f t="shared" si="11"/>
        <v>0</v>
      </c>
      <c r="T8" s="23">
        <f t="shared" si="12"/>
        <v>0</v>
      </c>
      <c r="U8" s="181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762554.58298556716</v>
      </c>
      <c r="Y8" s="25">
        <f t="shared" si="15"/>
        <v>507.11221949446082</v>
      </c>
    </row>
    <row r="9" spans="1:25" x14ac:dyDescent="0.2">
      <c r="A9" s="10">
        <v>6</v>
      </c>
      <c r="B9" s="15">
        <f t="shared" si="13"/>
        <v>916.14899104757978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SUM(pHealthyStage1*C8,(1-SUM(pStage1Remission,pStage1Stage2))*F8,pStage2Stage1*I8,pRemissionStage1*O8)*(1-'Life Table - Female'!B63)</f>
        <v>116.80195803640412</v>
      </c>
      <c r="G9" s="19">
        <f t="shared" si="3"/>
        <v>208682.24214466836</v>
      </c>
      <c r="H9" s="20">
        <f t="shared" si="4"/>
        <v>114.77523317956761</v>
      </c>
      <c r="I9" s="27">
        <f>SUM(pHealthyStage2*C8,pStage1Stage2*F8,(1-SUM(pStage2Remission, pStage2Stage1, pStage2Stage3))*I8,pStage3Stage2*L8,pRemissionStage2*O8)*(1-'Life Table - Female'!B63)</f>
        <v>67.05461721075649</v>
      </c>
      <c r="J9" s="19">
        <f t="shared" si="5"/>
        <v>539108.98801879073</v>
      </c>
      <c r="K9" s="20">
        <f t="shared" si="6"/>
        <v>53.162136318519643</v>
      </c>
      <c r="L9" s="27">
        <f>SUM(pHealthyStage3*C8,pStage2Stage3*I8,(1-SUM(pStage3Death, pStage3Stage2))*L8)*(1-'Life Table - Female'!B63)</f>
        <v>29.505309483064728</v>
      </c>
      <c r="M9" s="19">
        <f t="shared" si="7"/>
        <v>764369.84878797189</v>
      </c>
      <c r="N9" s="20">
        <f t="shared" si="8"/>
        <v>11.860911446709908</v>
      </c>
      <c r="O9" s="27">
        <f>SUM(pStage1Remission*F8,pStage2Remission*I8,(1-SUM(pRemissionStage1, pRemissionStage2))*O8)*(1-'Life Table - Female'!B63)</f>
        <v>119.79297240985433</v>
      </c>
      <c r="P9" s="19">
        <f t="shared" si="9"/>
        <v>66883.152303061579</v>
      </c>
      <c r="Q9" s="23">
        <f t="shared" si="10"/>
        <v>127.077989375817</v>
      </c>
      <c r="R9" s="27">
        <f>SUM(pStage3Death*L8*(1-'Life Table - Female'!B63),R8)</f>
        <v>45.854130477448543</v>
      </c>
      <c r="S9" s="19">
        <f t="shared" si="11"/>
        <v>0</v>
      </c>
      <c r="T9" s="23">
        <f t="shared" si="12"/>
        <v>0</v>
      </c>
      <c r="U9" s="181">
        <f>SUM(B8*'Life Table - Female'!B63,U8)</f>
        <v>37.996878474971901</v>
      </c>
      <c r="V9" s="49">
        <f t="shared" si="14"/>
        <v>0</v>
      </c>
      <c r="W9" s="54">
        <v>1.3333333333333333</v>
      </c>
      <c r="X9" s="13">
        <f t="shared" si="15"/>
        <v>1579044.2312544927</v>
      </c>
      <c r="Y9" s="25">
        <f t="shared" si="15"/>
        <v>957.87414883588553</v>
      </c>
    </row>
    <row r="10" spans="1:25" x14ac:dyDescent="0.2">
      <c r="A10" s="10">
        <v>7</v>
      </c>
      <c r="B10" s="15">
        <f t="shared" si="13"/>
        <v>895.12698054515636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SUM(pHealthyStage1*C9,(1-SUM(pStage1Remission,pStage1Stage2))*F9,pStage2Stage1*I9,pRemissionStage1*O9)*(1-'Life Table - Female'!B64)</f>
        <v>119.3702187087649</v>
      </c>
      <c r="G10" s="19">
        <f t="shared" si="3"/>
        <v>103529.50564191608</v>
      </c>
      <c r="H10" s="20">
        <f t="shared" si="4"/>
        <v>56.941228103053845</v>
      </c>
      <c r="I10" s="27">
        <f>SUM(pHealthyStage2*C9,pStage1Stage2*F9,(1-SUM(pStage2Remission, pStage2Stage1, pStage2Stage3))*I9,pStage3Stage2*L9,pRemissionStage2*O9)*(1-'Life Table - Female'!B64)</f>
        <v>70.42841760286862</v>
      </c>
      <c r="J10" s="19">
        <f t="shared" si="5"/>
        <v>274870.79284913902</v>
      </c>
      <c r="K10" s="20">
        <f t="shared" si="6"/>
        <v>27.105314294845655</v>
      </c>
      <c r="L10" s="27">
        <f>SUM(pHealthyStage3*C9,pStage2Stage3*I9,(1-SUM(pStage3Death, pStage3Stage2))*L9)*(1-'Life Table - Female'!B64)</f>
        <v>30.377959150179418</v>
      </c>
      <c r="M10" s="19">
        <f t="shared" si="7"/>
        <v>382027.60575543216</v>
      </c>
      <c r="N10" s="20">
        <f t="shared" si="8"/>
        <v>5.9280145720670507</v>
      </c>
      <c r="O10" s="27">
        <f>SUM(pStage1Remission*F9,pStage2Remission*I9,(1-SUM(pRemissionStage1, pRemissionStage2))*O9)*(1-'Life Table - Female'!B64)</f>
        <v>143.19650611238245</v>
      </c>
      <c r="P10" s="19">
        <f t="shared" si="9"/>
        <v>38810.621191334947</v>
      </c>
      <c r="Q10" s="23">
        <f t="shared" si="10"/>
        <v>73.740180263536388</v>
      </c>
      <c r="R10" s="27">
        <f>SUM(pStage3Death*L9*(1-'Life Table - Female'!B64),R9)</f>
        <v>59.017629407969864</v>
      </c>
      <c r="S10" s="19">
        <f t="shared" si="11"/>
        <v>0</v>
      </c>
      <c r="T10" s="23">
        <f t="shared" si="12"/>
        <v>0</v>
      </c>
      <c r="U10" s="181">
        <f>SUM(B9*'Life Table - Female'!B64,U9)</f>
        <v>45.855390046874192</v>
      </c>
      <c r="V10" s="49">
        <f t="shared" si="14"/>
        <v>0</v>
      </c>
      <c r="W10" s="54">
        <v>0.66666666666666663</v>
      </c>
      <c r="X10" s="13">
        <f t="shared" si="15"/>
        <v>799238.5254378221</v>
      </c>
      <c r="Y10" s="25">
        <f t="shared" si="15"/>
        <v>451.95778064362918</v>
      </c>
    </row>
    <row r="11" spans="1:25" x14ac:dyDescent="0.2">
      <c r="A11" s="10">
        <v>8</v>
      </c>
      <c r="B11" s="15">
        <f t="shared" si="13"/>
        <v>873.33225652638362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SUM(pHealthyStage1*C10,(1-SUM(pStage1Remission,pStage1Stage2))*F10,pStage2Stage1*I10,pRemissionStage1*O10)*(1-'Life Table - Female'!B65)</f>
        <v>120.89471953707384</v>
      </c>
      <c r="G11" s="19">
        <f t="shared" si="3"/>
        <v>203595.53702903353</v>
      </c>
      <c r="H11" s="20">
        <f t="shared" si="4"/>
        <v>111.97754536596844</v>
      </c>
      <c r="I11" s="27">
        <f>SUM(pHealthyStage2*C10,pStage1Stage2*F10,(1-SUM(pStage2Remission, pStage2Stage1, pStage2Stage3))*I10,pStage3Stage2*L10,pRemissionStage2*O10)*(1-'Life Table - Female'!B65)</f>
        <v>72.830330011533007</v>
      </c>
      <c r="J11" s="19">
        <f t="shared" si="5"/>
        <v>551932.17647266109</v>
      </c>
      <c r="K11" s="20">
        <f t="shared" si="6"/>
        <v>54.426645179942959</v>
      </c>
      <c r="L11" s="27">
        <f>SUM(pHealthyStage3*C10,pStage2Stage3*I10,(1-SUM(pStage3Death, pStage3Stage2))*L10)*(1-'Life Table - Female'!B65)</f>
        <v>30.784392657597003</v>
      </c>
      <c r="M11" s="19">
        <f t="shared" si="7"/>
        <v>751725.9000138056</v>
      </c>
      <c r="N11" s="20">
        <f t="shared" si="8"/>
        <v>11.664712241593532</v>
      </c>
      <c r="O11" s="27">
        <f>SUM(pStage1Remission*F10,pStage2Remission*I10,(1-SUM(pRemissionStage1, pRemissionStage2))*O10)*(1-'Life Table - Female'!B65)</f>
        <v>164.11846819150784</v>
      </c>
      <c r="P11" s="19">
        <f t="shared" si="9"/>
        <v>86371.089541222827</v>
      </c>
      <c r="Q11" s="23">
        <f t="shared" si="10"/>
        <v>164.10507012832335</v>
      </c>
      <c r="R11" s="27">
        <f>SUM(pStage3Death*L10*(1-'Life Table - Female'!B65),R10)</f>
        <v>72.561709941580332</v>
      </c>
      <c r="S11" s="19">
        <f t="shared" si="11"/>
        <v>0</v>
      </c>
      <c r="T11" s="23">
        <f t="shared" si="12"/>
        <v>0</v>
      </c>
      <c r="U11" s="181">
        <f>SUM(B10*'Life Table - Female'!B65,U10)</f>
        <v>54.106033532036271</v>
      </c>
      <c r="V11" s="49">
        <f t="shared" si="14"/>
        <v>0</v>
      </c>
      <c r="W11" s="54">
        <v>1.3333333333333333</v>
      </c>
      <c r="X11" s="13">
        <f t="shared" si="15"/>
        <v>1593624.7030567231</v>
      </c>
      <c r="Y11" s="25">
        <f t="shared" si="15"/>
        <v>852.34742191059081</v>
      </c>
    </row>
    <row r="12" spans="1:25" x14ac:dyDescent="0.2">
      <c r="A12" s="10">
        <v>9</v>
      </c>
      <c r="B12" s="15">
        <f t="shared" si="13"/>
        <v>851.02691573197762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SUM(pHealthyStage1*C11,(1-SUM(pStage1Remission,pStage1Stage2))*F11,pStage2Stage1*I11,pRemissionStage1*O11)*(1-'Life Table - Female'!B66)</f>
        <v>121.66180828163972</v>
      </c>
      <c r="G12" s="19">
        <f t="shared" si="3"/>
        <v>99459.888591179857</v>
      </c>
      <c r="H12" s="20">
        <f t="shared" si="4"/>
        <v>54.702938725148918</v>
      </c>
      <c r="I12" s="27">
        <f>SUM(pHealthyStage2*C11,pStage1Stage2*F11,(1-SUM(pStage2Remission, pStage2Stage1, pStage2Stage3))*I11,pStage3Stage2*L11,pRemissionStage2*O11)*(1-'Life Table - Female'!B66)</f>
        <v>74.487097160081873</v>
      </c>
      <c r="J12" s="19">
        <f t="shared" si="5"/>
        <v>274023.15651452256</v>
      </c>
      <c r="K12" s="20">
        <f t="shared" si="6"/>
        <v>27.021727934070974</v>
      </c>
      <c r="L12" s="27">
        <f>SUM(pHealthyStage3*C11,pStage2Stage3*I11,(1-SUM(pStage3Death, pStage3Stage2))*L11)*(1-'Life Table - Female'!B66)</f>
        <v>30.857315709537627</v>
      </c>
      <c r="M12" s="19">
        <f t="shared" si="7"/>
        <v>365779.90889332548</v>
      </c>
      <c r="N12" s="20">
        <f t="shared" si="8"/>
        <v>5.6758951379998779</v>
      </c>
      <c r="O12" s="27">
        <f>SUM(pStage1Remission*F11,pStage2Remission*I11,(1-SUM(pRemissionStage1, pRemissionStage2))*O11)*(1-'Life Table - Female'!B66)</f>
        <v>182.47807912126942</v>
      </c>
      <c r="P12" s="19">
        <f t="shared" si="9"/>
        <v>46618.084374821708</v>
      </c>
      <c r="Q12" s="23">
        <f t="shared" si="10"/>
        <v>88.574360312161232</v>
      </c>
      <c r="R12" s="27">
        <f>SUM(pStage3Death*L11*(1-'Life Table - Female'!B66),R11)</f>
        <v>86.278452518039046</v>
      </c>
      <c r="S12" s="19">
        <f t="shared" si="11"/>
        <v>0</v>
      </c>
      <c r="T12" s="23">
        <f t="shared" si="12"/>
        <v>0</v>
      </c>
      <c r="U12" s="181">
        <f>SUM(B11*'Life Table - Female'!B66,U11)</f>
        <v>62.694631749983671</v>
      </c>
      <c r="V12" s="49">
        <f t="shared" si="14"/>
        <v>0</v>
      </c>
      <c r="W12" s="54">
        <v>0.66666666666666663</v>
      </c>
      <c r="X12" s="13">
        <f t="shared" si="15"/>
        <v>785881.03837384959</v>
      </c>
      <c r="Y12" s="25">
        <f t="shared" si="15"/>
        <v>401.57868779664062</v>
      </c>
    </row>
    <row r="13" spans="1:25" x14ac:dyDescent="0.2">
      <c r="A13" s="10">
        <v>10</v>
      </c>
      <c r="B13" s="15">
        <f t="shared" si="13"/>
        <v>828.38277777694066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SUM(pHealthyStage1*C12,(1-SUM(pStage1Remission,pStage1Stage2))*F12,pStage2Stage1*I12,pRemissionStage1*O12)*(1-'Life Table - Female'!B67)</f>
        <v>121.84126261650289</v>
      </c>
      <c r="G13" s="19">
        <f t="shared" si="3"/>
        <v>193410.8631387171</v>
      </c>
      <c r="H13" s="20">
        <f t="shared" si="4"/>
        <v>106.37597472629442</v>
      </c>
      <c r="I13" s="27">
        <f>SUM(pHealthyStage2*C12,pStage1Stage2*F12,(1-SUM(pStage2Remission, pStage2Stage1, pStage2Stage3))*I12,pStage3Stage2*L12,pRemissionStage2*O12)*(1-'Life Table - Female'!B67)</f>
        <v>75.557208060049064</v>
      </c>
      <c r="J13" s="19">
        <f t="shared" si="5"/>
        <v>539727.92394305579</v>
      </c>
      <c r="K13" s="20">
        <f t="shared" si="6"/>
        <v>53.22317027771799</v>
      </c>
      <c r="L13" s="27">
        <f>SUM(pHealthyStage3*C12,pStage2Stage3*I12,(1-SUM(pStage3Death, pStage3Stage2))*L12)*(1-'Life Table - Female'!B67)</f>
        <v>30.692640674250079</v>
      </c>
      <c r="M13" s="19">
        <f t="shared" si="7"/>
        <v>706461.87474860251</v>
      </c>
      <c r="N13" s="20">
        <f t="shared" si="8"/>
        <v>10.962339435754176</v>
      </c>
      <c r="O13" s="27">
        <f>SUM(pStage1Remission*F12,pStage2Remission*I12,(1-SUM(pRemissionStage1, pRemissionStage2))*O12)*(1-'Life Table - Female'!B67)</f>
        <v>198.32241067531442</v>
      </c>
      <c r="P13" s="19">
        <f t="shared" si="9"/>
        <v>98380.332647433854</v>
      </c>
      <c r="Q13" s="23">
        <f t="shared" si="10"/>
        <v>186.9226320301243</v>
      </c>
      <c r="R13" s="27">
        <f>SUM(pStage3Death*L12*(1-'Life Table - Female'!B67),R12)</f>
        <v>100.0189685204854</v>
      </c>
      <c r="S13" s="19">
        <f t="shared" si="11"/>
        <v>0</v>
      </c>
      <c r="T13" s="23">
        <f t="shared" si="12"/>
        <v>0</v>
      </c>
      <c r="U13" s="181">
        <f>SUM(B12*'Life Table - Female'!B67,U12)</f>
        <v>71.598253702574482</v>
      </c>
      <c r="V13" s="49">
        <f t="shared" si="14"/>
        <v>0</v>
      </c>
      <c r="W13" s="54">
        <v>1.3333333333333333</v>
      </c>
      <c r="X13" s="13">
        <f t="shared" si="15"/>
        <v>1537980.9944778094</v>
      </c>
      <c r="Y13" s="25">
        <f t="shared" si="15"/>
        <v>756.28795270956243</v>
      </c>
    </row>
    <row r="14" spans="1:25" x14ac:dyDescent="0.2">
      <c r="A14" s="10">
        <v>11</v>
      </c>
      <c r="B14" s="15">
        <f t="shared" si="13"/>
        <v>805.50595522470553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SUM(pHealthyStage1*C13,(1-SUM(pStage1Remission,pStage1Stage2))*F13,pStage2Stage1*I13,pRemissionStage1*O13)*(1-'Life Table - Female'!B68)</f>
        <v>121.53760524141126</v>
      </c>
      <c r="G14" s="19">
        <f t="shared" si="3"/>
        <v>93654.775395473858</v>
      </c>
      <c r="H14" s="20">
        <f t="shared" si="4"/>
        <v>51.510126467510624</v>
      </c>
      <c r="I14" s="27">
        <f>SUM(pHealthyStage2*C13,pStage1Stage2*F13,(1-SUM(pStage2Remission, pStage2Stage1, pStage2Stage3))*I13,pStage3Stage2*L13,pRemissionStage2*O13)*(1-'Life Table - Female'!B68)</f>
        <v>76.15158169432776</v>
      </c>
      <c r="J14" s="19">
        <f t="shared" si="5"/>
        <v>264064.90974062978</v>
      </c>
      <c r="K14" s="20">
        <f t="shared" si="6"/>
        <v>26.039734154978767</v>
      </c>
      <c r="L14" s="27">
        <f>SUM(pHealthyStage3*C13,pStage2Stage3*I13,(1-SUM(pStage3Death, pStage3Stage2))*L13)*(1-'Life Table - Female'!B68)</f>
        <v>30.357946891346707</v>
      </c>
      <c r="M14" s="19">
        <f t="shared" si="7"/>
        <v>339202.97370493831</v>
      </c>
      <c r="N14" s="20">
        <f t="shared" si="8"/>
        <v>5.2634944195593878</v>
      </c>
      <c r="O14" s="27">
        <f>SUM(pStage1Remission*F13,pStage2Remission*I13,(1-SUM(pRemissionStage1, pRemissionStage2))*O13)*(1-'Life Table - Female'!B68)</f>
        <v>211.76263744503461</v>
      </c>
      <c r="P14" s="19">
        <f t="shared" si="9"/>
        <v>50993.944959654247</v>
      </c>
      <c r="Q14" s="23">
        <f t="shared" si="10"/>
        <v>96.888495423343073</v>
      </c>
      <c r="R14" s="27">
        <f>SUM(pStage3Death*L13*(1-'Life Table - Female'!B68),R13)</f>
        <v>113.67695040061419</v>
      </c>
      <c r="S14" s="19">
        <f t="shared" si="11"/>
        <v>0</v>
      </c>
      <c r="T14" s="23">
        <f t="shared" si="12"/>
        <v>0</v>
      </c>
      <c r="U14" s="181">
        <f>SUM(B13*'Life Table - Female'!B68,U13)</f>
        <v>80.81709437468075</v>
      </c>
      <c r="V14" s="49">
        <f t="shared" si="14"/>
        <v>0</v>
      </c>
      <c r="W14" s="54">
        <v>0.66666666666666663</v>
      </c>
      <c r="X14" s="13">
        <f t="shared" si="15"/>
        <v>747916.6038006962</v>
      </c>
      <c r="Y14" s="25">
        <f t="shared" si="15"/>
        <v>355.82631983760677</v>
      </c>
    </row>
    <row r="15" spans="1:25" x14ac:dyDescent="0.2">
      <c r="A15" s="10">
        <v>12</v>
      </c>
      <c r="B15" s="15">
        <f t="shared" si="13"/>
        <v>782.39636880171827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SUM(pHealthyStage1*C14,(1-SUM(pStage1Remission,pStage1Stage2))*F14,pStage2Stage1*I14,pRemissionStage1*O14)*(1-'Life Table - Female'!B69)</f>
        <v>120.80915897764979</v>
      </c>
      <c r="G15" s="19">
        <f t="shared" si="3"/>
        <v>180763.97535991011</v>
      </c>
      <c r="H15" s="20">
        <f t="shared" si="4"/>
        <v>99.420186447950542</v>
      </c>
      <c r="I15" s="27">
        <f>SUM(pHealthyStage2*C14,pStage1Stage2*F14,(1-SUM(pStage2Remission, pStage2Stage1, pStage2Stage3))*I14,pStage3Stage2*L14,pRemissionStage2*O14)*(1-'Life Table - Female'!B69)</f>
        <v>76.342719288656454</v>
      </c>
      <c r="J15" s="19">
        <f t="shared" si="5"/>
        <v>514034.37415952294</v>
      </c>
      <c r="K15" s="20">
        <f t="shared" si="6"/>
        <v>50.689500785175177</v>
      </c>
      <c r="L15" s="27">
        <f>SUM(pHealthyStage3*C14,pStage2Stage3*I14,(1-SUM(pStage3Death, pStage3Stage2))*L14)*(1-'Life Table - Female'!B69)</f>
        <v>29.89761775784762</v>
      </c>
      <c r="M15" s="19">
        <f t="shared" si="7"/>
        <v>648659.24188861833</v>
      </c>
      <c r="N15" s="20">
        <f t="shared" si="8"/>
        <v>10.065402029306147</v>
      </c>
      <c r="O15" s="27">
        <f>SUM(pStage1Remission*F14,pStage2Remission*I14,(1-SUM(pRemissionStage1, pRemissionStage2))*O14)*(1-'Life Table - Female'!B69)</f>
        <v>222.92088375335766</v>
      </c>
      <c r="P15" s="19">
        <f t="shared" si="9"/>
        <v>104234.81515962779</v>
      </c>
      <c r="Q15" s="23">
        <f t="shared" si="10"/>
        <v>198.04614880329282</v>
      </c>
      <c r="R15" s="27">
        <f>SUM(pStage3Death*L14*(1-'Life Table - Female'!B69),R14)</f>
        <v>127.17501879408412</v>
      </c>
      <c r="S15" s="19">
        <f t="shared" si="11"/>
        <v>0</v>
      </c>
      <c r="T15" s="23">
        <f t="shared" si="12"/>
        <v>0</v>
      </c>
      <c r="U15" s="181">
        <f>SUM(B14*'Life Table - Female'!B69,U14)</f>
        <v>90.428612404198034</v>
      </c>
      <c r="V15" s="49">
        <f t="shared" si="14"/>
        <v>0</v>
      </c>
      <c r="W15" s="54">
        <v>1.3333333333333333</v>
      </c>
      <c r="X15" s="13">
        <f t="shared" si="15"/>
        <v>1447692.406567679</v>
      </c>
      <c r="Y15" s="25">
        <f t="shared" si="15"/>
        <v>669.0971052054964</v>
      </c>
    </row>
    <row r="16" spans="1:25" x14ac:dyDescent="0.2">
      <c r="A16" s="10">
        <v>13</v>
      </c>
      <c r="B16" s="15">
        <f t="shared" si="13"/>
        <v>759.04568057849156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SUM(pHealthyStage1*C15,(1-SUM(pStage1Remission,pStage1Stage2))*F15,pStage2Stage1*I15,pRemissionStage1*O15)*(1-'Life Table - Female'!B70)</f>
        <v>119.6958319896632</v>
      </c>
      <c r="G16" s="19">
        <f t="shared" si="3"/>
        <v>86940.839663956736</v>
      </c>
      <c r="H16" s="20">
        <f t="shared" si="4"/>
        <v>47.817461815176209</v>
      </c>
      <c r="I16" s="27">
        <f>SUM(pHealthyStage2*C15,pStage1Stage2*F15,(1-SUM(pStage2Remission, pStage2Stage1, pStage2Stage3))*I15,pStage3Stage2*L15,pRemissionStage2*O15)*(1-'Life Table - Female'!B70)</f>
        <v>76.182690031272458</v>
      </c>
      <c r="J16" s="19">
        <f t="shared" si="5"/>
        <v>249008.18333318349</v>
      </c>
      <c r="K16" s="20">
        <f t="shared" si="6"/>
        <v>24.55497363424448</v>
      </c>
      <c r="L16" s="27">
        <f>SUM(pHealthyStage3*C15,pStage2Stage3*I15,(1-SUM(pStage3Death, pStage3Stage2))*L15)*(1-'Life Table - Female'!B70)</f>
        <v>29.341904439963859</v>
      </c>
      <c r="M16" s="19">
        <f t="shared" si="7"/>
        <v>309030.32813013857</v>
      </c>
      <c r="N16" s="20">
        <f t="shared" si="8"/>
        <v>4.7952981951228395</v>
      </c>
      <c r="O16" s="27">
        <f>SUM(pStage1Remission*F15,pStage2Remission*I15,(1-SUM(pRemissionStage1, pRemissionStage2))*O15)*(1-'Life Table - Female'!B70)</f>
        <v>231.92958823440088</v>
      </c>
      <c r="P16" s="19">
        <f t="shared" si="9"/>
        <v>52644.254630760413</v>
      </c>
      <c r="Q16" s="23">
        <f t="shared" si="10"/>
        <v>100.02408379844481</v>
      </c>
      <c r="R16" s="27">
        <f>SUM(pStage3Death*L15*(1-'Life Table - Female'!B70),R15)</f>
        <v>140.45578649061019</v>
      </c>
      <c r="S16" s="19">
        <f t="shared" si="11"/>
        <v>0</v>
      </c>
      <c r="T16" s="23">
        <f t="shared" si="12"/>
        <v>0</v>
      </c>
      <c r="U16" s="181">
        <f>SUM(B15*'Life Table - Female'!B70,U15)</f>
        <v>100.49853293089872</v>
      </c>
      <c r="V16" s="49">
        <f t="shared" si="14"/>
        <v>0</v>
      </c>
      <c r="W16" s="54">
        <v>0.66666666666666663</v>
      </c>
      <c r="X16" s="13">
        <f t="shared" si="15"/>
        <v>697623.60575803916</v>
      </c>
      <c r="Y16" s="25">
        <f t="shared" si="15"/>
        <v>314.24265625718283</v>
      </c>
    </row>
    <row r="17" spans="1:25" x14ac:dyDescent="0.2">
      <c r="A17" s="10">
        <v>14</v>
      </c>
      <c r="B17" s="15">
        <f t="shared" si="13"/>
        <v>735.40040657094016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SUM(pHealthyStage1*C16,(1-SUM(pStage1Remission,pStage1Stage2))*F16,pStage2Stage1*I16,pRemissionStage1*O16)*(1-'Life Table - Female'!B71)</f>
        <v>118.22063831086716</v>
      </c>
      <c r="G17" s="19">
        <f t="shared" si="3"/>
        <v>166736.57387212181</v>
      </c>
      <c r="H17" s="20">
        <f t="shared" si="4"/>
        <v>91.705115629666977</v>
      </c>
      <c r="I17" s="27">
        <f>SUM(pHealthyStage2*C16,pStage1Stage2*F16,(1-SUM(pStage2Remission, pStage2Stage1, pStage2Stage3))*I16,pStage3Stage2*L16,pRemissionStage2*O16)*(1-'Life Table - Female'!B71)</f>
        <v>75.705793514092605</v>
      </c>
      <c r="J17" s="19">
        <f t="shared" si="5"/>
        <v>480484.30171962589</v>
      </c>
      <c r="K17" s="20">
        <f t="shared" si="6"/>
        <v>47.381090864018653</v>
      </c>
      <c r="L17" s="27">
        <f>SUM(pHealthyStage3*C16,pStage2Stage3*I16,(1-SUM(pStage3Death, pStage3Stage2))*L16)*(1-'Life Table - Female'!B71)</f>
        <v>28.70968439700416</v>
      </c>
      <c r="M17" s="19">
        <f t="shared" si="7"/>
        <v>587129.62461277947</v>
      </c>
      <c r="N17" s="20">
        <f t="shared" si="8"/>
        <v>9.1106321060603701</v>
      </c>
      <c r="O17" s="27">
        <f>SUM(pStage1Remission*F16,pStage2Remission*I16,(1-SUM(pRemissionStage1, pRemissionStage2))*O16)*(1-'Life Table - Female'!B71)</f>
        <v>238.90855667965664</v>
      </c>
      <c r="P17" s="19">
        <f t="shared" si="9"/>
        <v>105297.80052223189</v>
      </c>
      <c r="Q17" s="23">
        <f t="shared" si="10"/>
        <v>200.06582099224056</v>
      </c>
      <c r="R17" s="27">
        <f>SUM(pStage3Death*L16*(1-'Life Table - Female'!B71),R16)</f>
        <v>153.47479601464994</v>
      </c>
      <c r="S17" s="19">
        <f t="shared" si="11"/>
        <v>0</v>
      </c>
      <c r="T17" s="23">
        <f t="shared" si="12"/>
        <v>0</v>
      </c>
      <c r="U17" s="181">
        <f>SUM(B16*'Life Table - Female'!B71,U16)</f>
        <v>111.12479741441035</v>
      </c>
      <c r="V17" s="49">
        <f t="shared" si="14"/>
        <v>0</v>
      </c>
      <c r="W17" s="54">
        <v>1.3333333333333333</v>
      </c>
      <c r="X17" s="13">
        <f t="shared" si="15"/>
        <v>1339648.3007267592</v>
      </c>
      <c r="Y17" s="25">
        <f t="shared" si="15"/>
        <v>589.66386193106496</v>
      </c>
    </row>
    <row r="18" spans="1:25" x14ac:dyDescent="0.2">
      <c r="A18" s="10">
        <v>15</v>
      </c>
      <c r="B18" s="15">
        <f t="shared" si="13"/>
        <v>711.45254827318399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SUM(pHealthyStage1*C17,(1-SUM(pStage1Remission,pStage1Stage2))*F17,pStage2Stage1*I17,pRemissionStage1*O17)*(1-'Life Table - Female'!B72)</f>
        <v>116.4078637412036</v>
      </c>
      <c r="G18" s="19">
        <f t="shared" si="3"/>
        <v>79698.963320768744</v>
      </c>
      <c r="H18" s="20">
        <f t="shared" si="4"/>
        <v>43.834429826422806</v>
      </c>
      <c r="I18" s="27">
        <f>SUM(pHealthyStage2*C17,pStage1Stage2*F17,(1-SUM(pStage2Remission, pStage2Stage1, pStage2Stage3))*I17,pStage3Stage2*L17,pRemissionStage2*O17)*(1-'Life Table - Female'!B72)</f>
        <v>74.941863932960317</v>
      </c>
      <c r="J18" s="19">
        <f t="shared" si="5"/>
        <v>230891.18748263881</v>
      </c>
      <c r="K18" s="20">
        <f t="shared" si="6"/>
        <v>22.76843654342688</v>
      </c>
      <c r="L18" s="27">
        <f>SUM(pHealthyStage3*C17,pStage2Stage3*I17,(1-SUM(pStage3Death, pStage3Stage2))*L17)*(1-'Life Table - Female'!B72)</f>
        <v>28.014997285534445</v>
      </c>
      <c r="M18" s="19">
        <f t="shared" si="7"/>
        <v>278117.89904330671</v>
      </c>
      <c r="N18" s="20">
        <f t="shared" si="8"/>
        <v>4.3156225713616552</v>
      </c>
      <c r="O18" s="27">
        <f>SUM(pStage1Remission*F17,pStage2Remission*I17,(1-SUM(pRemissionStage1, pRemissionStage2))*O17)*(1-'Life Table - Female'!B72)</f>
        <v>243.98646319995154</v>
      </c>
      <c r="P18" s="19">
        <f t="shared" si="9"/>
        <v>52201.875469319493</v>
      </c>
      <c r="Q18" s="23">
        <f t="shared" si="10"/>
        <v>99.18356339170704</v>
      </c>
      <c r="R18" s="27">
        <f>SUM(pStage3Death*L17*(1-'Life Table - Female'!B72),R17)</f>
        <v>166.19694308532326</v>
      </c>
      <c r="S18" s="19">
        <f t="shared" si="11"/>
        <v>0</v>
      </c>
      <c r="T18" s="23">
        <f t="shared" si="12"/>
        <v>0</v>
      </c>
      <c r="U18" s="181">
        <f>SUM(B17*'Life Table - Female'!B72,U17)</f>
        <v>122.35050864149321</v>
      </c>
      <c r="V18" s="49">
        <f t="shared" si="14"/>
        <v>0</v>
      </c>
      <c r="W18" s="54">
        <v>0.66666666666666663</v>
      </c>
      <c r="X18" s="13">
        <f t="shared" si="15"/>
        <v>640909.92531603377</v>
      </c>
      <c r="Y18" s="25">
        <f t="shared" si="15"/>
        <v>276.26660043574992</v>
      </c>
    </row>
    <row r="19" spans="1:25" x14ac:dyDescent="0.2">
      <c r="A19" s="10">
        <v>16</v>
      </c>
      <c r="B19" s="15">
        <f t="shared" si="13"/>
        <v>687.18007998622863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SUM(pHealthyStage1*C18,(1-SUM(pStage1Remission,pStage1Stage2))*F18,pStage2Stage1*I18,pRemissionStage1*O18)*(1-'Life Table - Female'!B73)</f>
        <v>114.27594548081623</v>
      </c>
      <c r="G19" s="19">
        <f t="shared" si="3"/>
        <v>151921.04783309848</v>
      </c>
      <c r="H19" s="20">
        <f t="shared" si="4"/>
        <v>83.556576308204157</v>
      </c>
      <c r="I19" s="27">
        <f>SUM(pHealthyStage2*C18,pStage1Stage2*F18,(1-SUM(pStage2Remission, pStage2Stage1, pStage2Stage3))*I18,pStage3Stage2*L18,pRemissionStage2*O18)*(1-'Life Table - Female'!B73)</f>
        <v>73.913237653385465</v>
      </c>
      <c r="J19" s="19">
        <f t="shared" si="5"/>
        <v>442178.74633256765</v>
      </c>
      <c r="K19" s="20">
        <f t="shared" si="6"/>
        <v>43.603737485572644</v>
      </c>
      <c r="L19" s="27">
        <f>SUM(pHealthyStage3*C18,pStage2Stage3*I18,(1-SUM(pStage3Death, pStage3Stage2))*L18)*(1-'Life Table - Female'!B73)</f>
        <v>27.266902919302556</v>
      </c>
      <c r="M19" s="19">
        <f t="shared" si="7"/>
        <v>525614.01663229801</v>
      </c>
      <c r="N19" s="20">
        <f t="shared" si="8"/>
        <v>8.1560795684322116</v>
      </c>
      <c r="O19" s="27">
        <f>SUM(pStage1Remission*F18,pStage2Remission*I18,(1-SUM(pRemissionStage1, pRemissionStage2))*O18)*(1-'Life Table - Female'!B73)</f>
        <v>247.28093710685212</v>
      </c>
      <c r="P19" s="19">
        <f t="shared" si="9"/>
        <v>102731.53646957243</v>
      </c>
      <c r="Q19" s="23">
        <f t="shared" si="10"/>
        <v>195.18991929218757</v>
      </c>
      <c r="R19" s="27">
        <f>SUM(pStage3Death*L18*(1-'Life Table - Female'!B73),R18)</f>
        <v>178.59324945252661</v>
      </c>
      <c r="S19" s="19">
        <f t="shared" si="11"/>
        <v>0</v>
      </c>
      <c r="T19" s="23">
        <f t="shared" si="12"/>
        <v>0</v>
      </c>
      <c r="U19" s="181">
        <f>SUM(B18*'Life Table - Female'!B73,U18)</f>
        <v>134.22667056124516</v>
      </c>
      <c r="V19" s="49">
        <f t="shared" si="14"/>
        <v>0</v>
      </c>
      <c r="W19" s="54">
        <v>1.3333333333333333</v>
      </c>
      <c r="X19" s="13">
        <f t="shared" si="15"/>
        <v>1222445.3472675367</v>
      </c>
      <c r="Y19" s="25">
        <f t="shared" si="15"/>
        <v>516.99363632290999</v>
      </c>
    </row>
    <row r="20" spans="1:25" x14ac:dyDescent="0.2">
      <c r="A20" s="10">
        <v>17</v>
      </c>
      <c r="B20" s="15">
        <f t="shared" si="13"/>
        <v>662.57795615995269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SUM(pHealthyStage1*C19,(1-SUM(pStage1Remission,pStage1Stage2))*F19,pStage2Stage1*I19,pRemissionStage1*O19)*(1-'Life Table - Female'!B74)</f>
        <v>111.84361986337946</v>
      </c>
      <c r="G20" s="19">
        <f t="shared" si="3"/>
        <v>72178.378005499195</v>
      </c>
      <c r="H20" s="20">
        <f t="shared" si="4"/>
        <v>39.698107903024557</v>
      </c>
      <c r="I20" s="27">
        <f>SUM(pHealthyStage2*C19,pStage1Stage2*F19,(1-SUM(pStage2Remission, pStage2Stage1, pStage2Stage3))*I19,pStage3Stage2*L19,pRemissionStage2*O19)*(1-'Life Table - Female'!B74)</f>
        <v>72.639805436863384</v>
      </c>
      <c r="J20" s="19">
        <f t="shared" si="5"/>
        <v>210951.72917888049</v>
      </c>
      <c r="K20" s="20">
        <f t="shared" si="6"/>
        <v>20.802184405139606</v>
      </c>
      <c r="L20" s="27">
        <f>SUM(pHealthyStage3*C19,pStage2Stage3*I19,(1-SUM(pStage3Death, pStage3Stage2))*L19)*(1-'Life Table - Female'!B74)</f>
        <v>26.472163117716367</v>
      </c>
      <c r="M20" s="19">
        <f t="shared" si="7"/>
        <v>247715.58786976535</v>
      </c>
      <c r="N20" s="20">
        <f t="shared" si="8"/>
        <v>3.8438625703929108</v>
      </c>
      <c r="O20" s="27">
        <f>SUM(pStage1Remission*F19,pStage2Remission*I19,(1-SUM(pRemissionStage1, pRemissionStage2))*O19)*(1-'Life Table - Female'!B74)</f>
        <v>248.90771622747795</v>
      </c>
      <c r="P20" s="19">
        <f t="shared" si="9"/>
        <v>50197.753938429196</v>
      </c>
      <c r="Q20" s="23">
        <f t="shared" si="10"/>
        <v>95.375732483015469</v>
      </c>
      <c r="R20" s="27">
        <f>SUM(pStage3Death*L19*(1-'Life Table - Female'!B74),R19)</f>
        <v>190.63915524785571</v>
      </c>
      <c r="S20" s="19">
        <f t="shared" si="11"/>
        <v>0</v>
      </c>
      <c r="T20" s="23">
        <f t="shared" si="12"/>
        <v>0</v>
      </c>
      <c r="U20" s="181">
        <f>SUM(B19*'Life Table - Female'!B74,U19)</f>
        <v>146.78288859219205</v>
      </c>
      <c r="V20" s="49">
        <f t="shared" si="14"/>
        <v>0</v>
      </c>
      <c r="W20" s="54">
        <v>0.66666666666666663</v>
      </c>
      <c r="X20" s="13">
        <f t="shared" si="15"/>
        <v>581043.44899257424</v>
      </c>
      <c r="Y20" s="25">
        <f t="shared" si="15"/>
        <v>241.48368601488824</v>
      </c>
    </row>
    <row r="21" spans="1:25" x14ac:dyDescent="0.2">
      <c r="A21" s="10">
        <v>18</v>
      </c>
      <c r="B21" s="15">
        <f t="shared" si="13"/>
        <v>637.62252887788895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SUM(pHealthyStage1*C20,(1-SUM(pStage1Remission,pStage1Stage2))*F20,pStage2Stage1*I20,pRemissionStage1*O20)*(1-'Life Table - Female'!B75)</f>
        <v>109.12463703225076</v>
      </c>
      <c r="G21" s="19">
        <f t="shared" si="3"/>
        <v>136745.00981510017</v>
      </c>
      <c r="H21" s="20">
        <f t="shared" si="4"/>
        <v>75.209755398305091</v>
      </c>
      <c r="I21" s="27">
        <f>SUM(pHealthyStage2*C20,pStage1Stage2*F20,(1-SUM(pStage2Remission, pStage2Stage1, pStage2Stage3))*I20,pStage3Stage2*L20,pRemissionStage2*O20)*(1-'Life Table - Female'!B75)</f>
        <v>71.13639434152482</v>
      </c>
      <c r="J21" s="19">
        <f t="shared" si="5"/>
        <v>401137.29063818039</v>
      </c>
      <c r="K21" s="20">
        <f t="shared" si="6"/>
        <v>39.556593937931673</v>
      </c>
      <c r="L21" s="27">
        <f>SUM(pHealthyStage3*C20,pStage2Stage3*I20,(1-SUM(pStage3Death, pStage3Stage2))*L20)*(1-'Life Table - Female'!B75)</f>
        <v>25.634823102477934</v>
      </c>
      <c r="M21" s="19">
        <f t="shared" si="7"/>
        <v>465786.61212820536</v>
      </c>
      <c r="N21" s="20">
        <f t="shared" si="8"/>
        <v>7.2277232916445655</v>
      </c>
      <c r="O21" s="27">
        <f>SUM(pStage1Remission*F20,pStage2Remission*I20,(1-SUM(pRemissionStage1, pRemissionStage2))*O20)*(1-'Life Table - Female'!B75)</f>
        <v>248.96764139395307</v>
      </c>
      <c r="P21" s="19">
        <f t="shared" si="9"/>
        <v>97494.833350501634</v>
      </c>
      <c r="Q21" s="23">
        <f t="shared" si="10"/>
        <v>185.2401833659531</v>
      </c>
      <c r="R21" s="27">
        <f>SUM(pStage3Death*L20*(1-'Life Table - Female'!B75),R20)</f>
        <v>202.31283645222777</v>
      </c>
      <c r="S21" s="19">
        <f t="shared" si="11"/>
        <v>0</v>
      </c>
      <c r="T21" s="23">
        <f t="shared" si="12"/>
        <v>0</v>
      </c>
      <c r="U21" s="181">
        <f>SUM(B20*'Life Table - Female'!B75,U20)</f>
        <v>160.06463466988373</v>
      </c>
      <c r="V21" s="49">
        <f t="shared" si="14"/>
        <v>0</v>
      </c>
      <c r="W21" s="54">
        <v>1.3333333333333333</v>
      </c>
      <c r="X21" s="13">
        <f t="shared" si="15"/>
        <v>1101163.7459319877</v>
      </c>
      <c r="Y21" s="25">
        <f t="shared" si="15"/>
        <v>450.36981663633958</v>
      </c>
    </row>
    <row r="22" spans="1:25" x14ac:dyDescent="0.2">
      <c r="A22" s="10">
        <v>19</v>
      </c>
      <c r="B22" s="15">
        <f t="shared" si="13"/>
        <v>612.48226500280634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SUM(pHealthyStage1*C21,(1-SUM(pStage1Remission,pStage1Stage2))*F21,pStage2Stage1*I21,pRemissionStage1*O21)*(1-'Life Table - Female'!B76)</f>
        <v>106.16440206153388</v>
      </c>
      <c r="G22" s="19">
        <f t="shared" si="3"/>
        <v>64580.346709904945</v>
      </c>
      <c r="H22" s="20">
        <f t="shared" si="4"/>
        <v>35.519190690447722</v>
      </c>
      <c r="I22" s="27">
        <f>SUM(pHealthyStage2*C21,pStage1Stage2*F21,(1-SUM(pStage2Remission, pStage2Stage1, pStage2Stage3))*I21,pStage3Stage2*L21,pRemissionStage2*O21)*(1-'Life Table - Female'!B76)</f>
        <v>69.43724845243247</v>
      </c>
      <c r="J22" s="19">
        <f t="shared" si="5"/>
        <v>190075.64415691295</v>
      </c>
      <c r="K22" s="20">
        <f t="shared" si="6"/>
        <v>18.743570465473358</v>
      </c>
      <c r="L22" s="27">
        <f>SUM(pHealthyStage3*C21,pStage2Stage3*I21,(1-SUM(pStage3Death, pStage3Stage2))*L21)*(1-'Life Table - Female'!B76)</f>
        <v>24.76536714155376</v>
      </c>
      <c r="M22" s="19">
        <f t="shared" si="7"/>
        <v>218441.03576595389</v>
      </c>
      <c r="N22" s="20">
        <f t="shared" si="8"/>
        <v>3.3896022791268705</v>
      </c>
      <c r="O22" s="27">
        <f>SUM(pStage1Remission*F21,pStage2Remission*I21,(1-SUM(pRemissionStage1, pRemissionStage2))*O21)*(1-'Life Table - Female'!B76)</f>
        <v>247.63050889247887</v>
      </c>
      <c r="P22" s="19">
        <f t="shared" si="9"/>
        <v>47073.406344568946</v>
      </c>
      <c r="Q22" s="23">
        <f t="shared" si="10"/>
        <v>89.439472054680991</v>
      </c>
      <c r="R22" s="27">
        <f>SUM(pStage3Death*L21*(1-'Life Table - Female'!B76),R21)</f>
        <v>213.59784177828041</v>
      </c>
      <c r="S22" s="19">
        <f t="shared" si="11"/>
        <v>0</v>
      </c>
      <c r="T22" s="23">
        <f t="shared" si="12"/>
        <v>0</v>
      </c>
      <c r="U22" s="181">
        <f>SUM(B21*'Life Table - Female'!B76,U21)</f>
        <v>173.91989321891384</v>
      </c>
      <c r="V22" s="49">
        <f t="shared" si="14"/>
        <v>0</v>
      </c>
      <c r="W22" s="54">
        <v>0.66666666666666663</v>
      </c>
      <c r="X22" s="13">
        <f t="shared" si="15"/>
        <v>520170.43297734071</v>
      </c>
      <c r="Y22" s="25">
        <f t="shared" si="15"/>
        <v>209.62740079945607</v>
      </c>
    </row>
    <row r="23" spans="1:25" x14ac:dyDescent="0.2">
      <c r="A23" s="10">
        <v>20</v>
      </c>
      <c r="B23" s="15">
        <f t="shared" si="13"/>
        <v>586.59335794801723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SUM(pHealthyStage1*C22,(1-SUM(pStage1Remission,pStage1Stage2))*F22,pStage2Stage1*I22,pRemissionStage1*O22)*(1-'Life Table - Female'!B77)</f>
        <v>102.8800397324562</v>
      </c>
      <c r="G23" s="19">
        <f t="shared" si="3"/>
        <v>121519.32499112061</v>
      </c>
      <c r="H23" s="20">
        <f t="shared" si="4"/>
        <v>66.835628745116338</v>
      </c>
      <c r="I23" s="27">
        <f>SUM(pHealthyStage2*C22,pStage1Stage2*F22,(1-SUM(pStage2Remission, pStage2Stage1, pStage2Stage3))*I22,pStage3Stage2*L22,pRemissionStage2*O22)*(1-'Life Table - Female'!B77)</f>
        <v>67.491817200552347</v>
      </c>
      <c r="J23" s="19">
        <f t="shared" si="5"/>
        <v>358738.39478325192</v>
      </c>
      <c r="K23" s="20">
        <f t="shared" si="6"/>
        <v>35.3755917077929</v>
      </c>
      <c r="L23" s="27">
        <f>SUM(pHealthyStage3*C22,pStage2Stage3*I22,(1-SUM(pStage3Death, pStage3Stage2))*L22)*(1-'Life Table - Female'!B77)</f>
        <v>23.843785656082975</v>
      </c>
      <c r="M23" s="19">
        <f t="shared" si="7"/>
        <v>408373.39111240814</v>
      </c>
      <c r="N23" s="20">
        <f t="shared" si="8"/>
        <v>6.3368284827787473</v>
      </c>
      <c r="O23" s="27">
        <f>SUM(pStage1Remission*F22,pStage2Remission*I22,(1-SUM(pRemissionStage1, pRemissionStage2))*O22)*(1-'Life Table - Female'!B77)</f>
        <v>244.76218993070711</v>
      </c>
      <c r="P23" s="19">
        <f t="shared" si="9"/>
        <v>90345.926737455462</v>
      </c>
      <c r="Q23" s="23">
        <f t="shared" si="10"/>
        <v>171.65726080116539</v>
      </c>
      <c r="R23" s="27">
        <f>SUM(pStage3Death*L22*(1-'Life Table - Female'!B77),R22)</f>
        <v>224.46900171751162</v>
      </c>
      <c r="S23" s="19">
        <f t="shared" si="11"/>
        <v>0</v>
      </c>
      <c r="T23" s="23">
        <f t="shared" si="12"/>
        <v>0</v>
      </c>
      <c r="U23" s="181">
        <f>SUM(B22*'Life Table - Female'!B77,U22)</f>
        <v>188.93764033447164</v>
      </c>
      <c r="V23" s="49">
        <f t="shared" si="14"/>
        <v>0</v>
      </c>
      <c r="W23" s="54">
        <v>1.3333333333333333</v>
      </c>
      <c r="X23" s="13">
        <f t="shared" si="15"/>
        <v>978977.03762423608</v>
      </c>
      <c r="Y23" s="25">
        <f t="shared" si="15"/>
        <v>389.1801595649614</v>
      </c>
    </row>
    <row r="24" spans="1:25" x14ac:dyDescent="0.2">
      <c r="A24" s="10">
        <v>21</v>
      </c>
      <c r="B24" s="15">
        <f t="shared" si="13"/>
        <v>560.39467881788084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SUM(pHealthyStage1*C23,(1-SUM(pStage1Remission,pStage1Stage2))*F23,pStage2Stage1*I23,pRemissionStage1*O23)*(1-'Life Table - Female'!B78)</f>
        <v>99.360882368145965</v>
      </c>
      <c r="G24" s="19">
        <f t="shared" si="3"/>
        <v>56972.128395394619</v>
      </c>
      <c r="H24" s="20">
        <f t="shared" si="4"/>
        <v>31.334670617467047</v>
      </c>
      <c r="I24" s="27">
        <f>SUM(pHealthyStage2*C23,pStage1Stage2*F23,(1-SUM(pStage2Remission, pStage2Stage1, pStage2Stage3))*I23,pStage3Stage2*L23,pRemissionStage2*O23)*(1-'Life Table - Female'!B78)</f>
        <v>65.361483744196661</v>
      </c>
      <c r="J24" s="19">
        <f t="shared" si="5"/>
        <v>168648.08764336759</v>
      </c>
      <c r="K24" s="20">
        <f t="shared" si="6"/>
        <v>16.630575309276526</v>
      </c>
      <c r="L24" s="27">
        <f>SUM(pHealthyStage3*C23,pStage2Stage3*I23,(1-SUM(pStage3Death, pStage3Stage2))*L23)*(1-'Life Table - Female'!B78)</f>
        <v>22.88997236505827</v>
      </c>
      <c r="M24" s="19">
        <f t="shared" si="7"/>
        <v>190309.41548909366</v>
      </c>
      <c r="N24" s="20">
        <f t="shared" si="8"/>
        <v>2.9530771368997288</v>
      </c>
      <c r="O24" s="27">
        <f>SUM(pStage1Remission*F23,pStage2Remission*I23,(1-SUM(pRemissionStage1, pRemissionStage2))*O23)*(1-'Life Table - Female'!B78)</f>
        <v>240.62411506936698</v>
      </c>
      <c r="P24" s="19">
        <f t="shared" si="9"/>
        <v>43115.772940599098</v>
      </c>
      <c r="Q24" s="23">
        <f t="shared" si="10"/>
        <v>81.919968587138285</v>
      </c>
      <c r="R24" s="27">
        <f>SUM(pStage3Death*L23*(1-'Life Table - Female'!B78),R23)</f>
        <v>234.910481616569</v>
      </c>
      <c r="S24" s="19">
        <f t="shared" si="11"/>
        <v>0</v>
      </c>
      <c r="T24" s="23">
        <f t="shared" si="12"/>
        <v>0</v>
      </c>
      <c r="U24" s="181">
        <f>SUM(B23*'Life Table - Female'!B78,U23)</f>
        <v>204.69483956555064</v>
      </c>
      <c r="V24" s="49">
        <f t="shared" si="14"/>
        <v>0</v>
      </c>
      <c r="W24" s="54">
        <v>0.66666666666666663</v>
      </c>
      <c r="X24" s="13">
        <f t="shared" si="15"/>
        <v>459045.404468455</v>
      </c>
      <c r="Y24" s="25">
        <f t="shared" si="15"/>
        <v>180.19933051739065</v>
      </c>
    </row>
    <row r="25" spans="1:25" x14ac:dyDescent="0.2">
      <c r="A25" s="10">
        <v>22</v>
      </c>
      <c r="B25" s="15">
        <f t="shared" si="13"/>
        <v>533.62336508841281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SUM(pHealthyStage1*C24,(1-SUM(pStage1Remission,pStage1Stage2))*F24,pStage2Stage1*I24,pRemissionStage1*O24)*(1-'Life Table - Female'!B79)</f>
        <v>95.573012569544161</v>
      </c>
      <c r="G25" s="19">
        <f t="shared" si="3"/>
        <v>106408.18889984464</v>
      </c>
      <c r="H25" s="20">
        <f t="shared" si="4"/>
        <v>58.52450389491456</v>
      </c>
      <c r="I25" s="27">
        <f>SUM(pHealthyStage2*C24,pStage1Stage2*F24,(1-SUM(pStage2Remission, pStage2Stage1, pStage2Stage3))*I24,pStage3Stage2*L24,pRemissionStage2*O24)*(1-'Life Table - Female'!B79)</f>
        <v>63.026471422099007</v>
      </c>
      <c r="J25" s="19">
        <f t="shared" si="5"/>
        <v>315773.21080592694</v>
      </c>
      <c r="K25" s="20">
        <f t="shared" si="6"/>
        <v>31.138747176695571</v>
      </c>
      <c r="L25" s="27">
        <f>SUM(pHealthyStage3*C24,pStage2Stage3*I24,(1-SUM(pStage3Death, pStage3Stage2))*L24)*(1-'Life Table - Female'!B79)</f>
        <v>21.894980234219972</v>
      </c>
      <c r="M25" s="19">
        <f t="shared" si="7"/>
        <v>353469.81732815289</v>
      </c>
      <c r="N25" s="20">
        <f t="shared" si="8"/>
        <v>5.4848764757816824</v>
      </c>
      <c r="O25" s="27">
        <f>SUM(pStage1Remission*F24,pStage2Remission*I24,(1-SUM(pRemissionStage1, pRemissionStage2))*O24)*(1-'Life Table - Female'!B79)</f>
        <v>235.18382786702392</v>
      </c>
      <c r="P25" s="19">
        <f t="shared" si="9"/>
        <v>81827.117395107067</v>
      </c>
      <c r="Q25" s="23">
        <f t="shared" si="10"/>
        <v>155.47152305070344</v>
      </c>
      <c r="R25" s="27">
        <f>SUM(pStage3Death*L24*(1-'Life Table - Female'!B79),R24)</f>
        <v>244.90255374438829</v>
      </c>
      <c r="S25" s="19">
        <f t="shared" si="11"/>
        <v>0</v>
      </c>
      <c r="T25" s="23">
        <f t="shared" si="12"/>
        <v>0</v>
      </c>
      <c r="U25" s="181">
        <f>SUM(B24*'Life Table - Female'!B79,U24)</f>
        <v>221.47408116719942</v>
      </c>
      <c r="V25" s="49">
        <f t="shared" si="14"/>
        <v>0</v>
      </c>
      <c r="W25" s="54">
        <v>1.3333333333333333</v>
      </c>
      <c r="X25" s="13">
        <f t="shared" si="15"/>
        <v>857478.33442903159</v>
      </c>
      <c r="Y25" s="25">
        <f t="shared" si="15"/>
        <v>332.69251608131401</v>
      </c>
    </row>
    <row r="26" spans="1:25" x14ac:dyDescent="0.2">
      <c r="A26" s="10">
        <v>23</v>
      </c>
      <c r="B26" s="15">
        <f t="shared" si="13"/>
        <v>506.46689028713627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SUM(pHealthyStage1*C25,(1-SUM(pStage1Remission,pStage1Stage2))*F25,pStage2Stage1*I25,pRemissionStage1*O25)*(1-'Life Table - Female'!B80)</f>
        <v>91.56117768291918</v>
      </c>
      <c r="G26" s="19">
        <f t="shared" si="3"/>
        <v>49486.179422336274</v>
      </c>
      <c r="H26" s="20">
        <f t="shared" si="4"/>
        <v>27.217398682284951</v>
      </c>
      <c r="I26" s="27">
        <f>SUM(pHealthyStage2*C25,pStage1Stage2*F25,(1-SUM(pStage2Remission, pStage2Stage1, pStage2Stage3))*I25,pStage3Stage2*L25,pRemissionStage2*O25)*(1-'Life Table - Female'!B80)</f>
        <v>60.518380565212119</v>
      </c>
      <c r="J26" s="19">
        <f t="shared" si="5"/>
        <v>147187.98749146069</v>
      </c>
      <c r="K26" s="20">
        <f t="shared" si="6"/>
        <v>14.514370988741263</v>
      </c>
      <c r="L26" s="27">
        <f>SUM(pHealthyStage3*C25,pStage2Stage3*I25,(1-SUM(pStage3Death, pStage3Stage2))*L25)*(1-'Life Table - Female'!B80)</f>
        <v>20.86794613342401</v>
      </c>
      <c r="M26" s="19">
        <f t="shared" si="7"/>
        <v>163538.59587304408</v>
      </c>
      <c r="N26" s="20">
        <f t="shared" si="8"/>
        <v>2.5376678669955108</v>
      </c>
      <c r="O26" s="27">
        <f>SUM(pStage1Remission*F25,pStage2Remission*I25,(1-SUM(pRemissionStage1, pRemissionStage2))*O25)*(1-'Life Table - Female'!B80)</f>
        <v>228.59473018655981</v>
      </c>
      <c r="P26" s="19">
        <f t="shared" si="9"/>
        <v>38609.021173347428</v>
      </c>
      <c r="Q26" s="23">
        <f t="shared" si="10"/>
        <v>73.357140229360112</v>
      </c>
      <c r="R26" s="27">
        <f>SUM(pStage3Death*L25*(1-'Life Table - Female'!B80),R25)</f>
        <v>254.4297912792247</v>
      </c>
      <c r="S26" s="19">
        <f t="shared" si="11"/>
        <v>0</v>
      </c>
      <c r="T26" s="23">
        <f t="shared" si="12"/>
        <v>0</v>
      </c>
      <c r="U26" s="181">
        <f>SUM(B25*'Life Table - Female'!B80,U25)</f>
        <v>239.1033184336396</v>
      </c>
      <c r="V26" s="49">
        <f t="shared" si="14"/>
        <v>0</v>
      </c>
      <c r="W26" s="54">
        <v>0.66666666666666663</v>
      </c>
      <c r="X26" s="13">
        <f t="shared" si="15"/>
        <v>398821.78396018845</v>
      </c>
      <c r="Y26" s="25">
        <f t="shared" si="15"/>
        <v>153.06954927381821</v>
      </c>
    </row>
    <row r="27" spans="1:25" x14ac:dyDescent="0.2">
      <c r="A27" s="10">
        <v>24</v>
      </c>
      <c r="B27" s="15">
        <f t="shared" si="13"/>
        <v>478.64156330125991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SUM(pHealthyStage1*C26,(1-SUM(pStage1Remission,pStage1Stage2))*F26,pStage2Stage1*I26,pRemissionStage1*O26)*(1-'Life Table - Female'!B81)</f>
        <v>87.284645648216738</v>
      </c>
      <c r="G27" s="19">
        <f t="shared" si="3"/>
        <v>91601.6252987677</v>
      </c>
      <c r="H27" s="20">
        <f t="shared" si="4"/>
        <v>50.380893914322243</v>
      </c>
      <c r="I27" s="27">
        <f>SUM(pHealthyStage2*C26,pStage1Stage2*F26,(1-SUM(pStage2Remission, pStage2Stage1, pStage2Stage3))*I26,pStage3Stage2*L26,pRemissionStage2*O26)*(1-'Life Table - Female'!B81)</f>
        <v>57.812153477562468</v>
      </c>
      <c r="J27" s="19">
        <f t="shared" si="5"/>
        <v>273021.58719408448</v>
      </c>
      <c r="K27" s="20">
        <f t="shared" si="6"/>
        <v>26.922962070527777</v>
      </c>
      <c r="L27" s="27">
        <f>SUM(pHealthyStage3*C26,pStage2Stage3*I26,(1-SUM(pStage3Death, pStage3Stage2))*L26)*(1-'Life Table - Female'!B81)</f>
        <v>19.798444921295623</v>
      </c>
      <c r="M27" s="19">
        <f t="shared" si="7"/>
        <v>301275.91096693679</v>
      </c>
      <c r="N27" s="20">
        <f t="shared" si="8"/>
        <v>4.6749710322455709</v>
      </c>
      <c r="O27" s="27">
        <f>SUM(pStage1Remission*F26,pStage2Remission*I26,(1-SUM(pRemissionStage1, pRemissionStage2))*O26)*(1-'Life Table - Female'!B81)</f>
        <v>220.79560767827815</v>
      </c>
      <c r="P27" s="19">
        <f t="shared" si="9"/>
        <v>72411.205501685225</v>
      </c>
      <c r="Q27" s="23">
        <f t="shared" si="10"/>
        <v>137.58129045320194</v>
      </c>
      <c r="R27" s="27">
        <f>SUM(pStage3Death*L26*(1-'Life Table - Female'!B81),R26)</f>
        <v>263.47210476455137</v>
      </c>
      <c r="S27" s="19">
        <f t="shared" si="11"/>
        <v>0</v>
      </c>
      <c r="T27" s="23">
        <f t="shared" si="12"/>
        <v>0</v>
      </c>
      <c r="U27" s="181">
        <f>SUM(B26*'Life Table - Female'!B81,U26)</f>
        <v>257.88633193418917</v>
      </c>
      <c r="V27" s="49">
        <f t="shared" si="14"/>
        <v>0</v>
      </c>
      <c r="W27" s="54">
        <v>1.3333333333333333</v>
      </c>
      <c r="X27" s="13">
        <f t="shared" si="15"/>
        <v>738310.32896147424</v>
      </c>
      <c r="Y27" s="25">
        <f t="shared" si="15"/>
        <v>280.52757192490014</v>
      </c>
    </row>
    <row r="28" spans="1:25" x14ac:dyDescent="0.2">
      <c r="A28" s="10">
        <v>25</v>
      </c>
      <c r="B28" s="15">
        <f t="shared" si="13"/>
        <v>450.37300787368849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SUM(pHealthyStage1*C27,(1-SUM(pStage1Remission,pStage1Stage2))*F27,pStage2Stage1*I27,pRemissionStage1*O27)*(1-'Life Table - Female'!B82)</f>
        <v>82.79383590052484</v>
      </c>
      <c r="G28" s="19">
        <f t="shared" si="3"/>
        <v>42178.983601735039</v>
      </c>
      <c r="H28" s="20">
        <f t="shared" si="4"/>
        <v>23.19844098095427</v>
      </c>
      <c r="I28" s="27">
        <f>SUM(pHealthyStage2*C27,pStage1Stage2*F27,(1-SUM(pStage2Remission, pStage2Stage1, pStage2Stage3))*I27,pStage3Stage2*L27,pRemissionStage2*O27)*(1-'Life Table - Female'!B82)</f>
        <v>54.942762353627806</v>
      </c>
      <c r="J28" s="19">
        <f t="shared" si="5"/>
        <v>125956.65259541996</v>
      </c>
      <c r="K28" s="20">
        <f t="shared" si="6"/>
        <v>12.420725464270578</v>
      </c>
      <c r="L28" s="27">
        <f>SUM(pHealthyStage3*C27,pStage2Stage3*I27,(1-SUM(pStage3Death, pStage3Stage2))*L27)*(1-'Life Table - Female'!B82)</f>
        <v>18.696868873914937</v>
      </c>
      <c r="M28" s="19">
        <f t="shared" si="7"/>
        <v>138113.1372566217</v>
      </c>
      <c r="N28" s="20">
        <f t="shared" si="8"/>
        <v>2.1431348884648198</v>
      </c>
      <c r="O28" s="27">
        <f>SUM(pStage1Remission*F27,pStage2Remission*I27,(1-SUM(pRemissionStage1, pRemissionStage2))*O27)*(1-'Life Table - Female'!B82)</f>
        <v>211.94923422750352</v>
      </c>
      <c r="P28" s="19">
        <f t="shared" si="9"/>
        <v>33742.711555933223</v>
      </c>
      <c r="Q28" s="23">
        <f t="shared" si="10"/>
        <v>64.111151956273105</v>
      </c>
      <c r="R28" s="27">
        <f>SUM(pStage3Death*L27*(1-'Life Table - Female'!B82),R27)</f>
        <v>272.01422258572188</v>
      </c>
      <c r="S28" s="19">
        <f t="shared" si="11"/>
        <v>0</v>
      </c>
      <c r="T28" s="23">
        <f t="shared" si="12"/>
        <v>0</v>
      </c>
      <c r="U28" s="181">
        <f>SUM(B27*'Life Table - Female'!B82,U27)</f>
        <v>277.61276954059002</v>
      </c>
      <c r="V28" s="49">
        <f t="shared" si="14"/>
        <v>0</v>
      </c>
      <c r="W28" s="54">
        <v>0.66666666666666663</v>
      </c>
      <c r="X28" s="13">
        <f t="shared" si="15"/>
        <v>339991.48500970996</v>
      </c>
      <c r="Y28" s="25">
        <f t="shared" si="15"/>
        <v>127.97947130231174</v>
      </c>
    </row>
    <row r="29" spans="1:25" x14ac:dyDescent="0.2">
      <c r="A29" s="10">
        <v>26</v>
      </c>
      <c r="B29" s="15">
        <f t="shared" si="13"/>
        <v>421.65353059672719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SUM(pHealthyStage1*C28,(1-SUM(pStage1Remission,pStage1Stage2))*F28,pStage2Stage1*I28,pRemissionStage1*O28)*(1-'Life Table - Female'!B83)</f>
        <v>78.096612863767902</v>
      </c>
      <c r="G29" s="19">
        <f t="shared" si="3"/>
        <v>77254.373580235217</v>
      </c>
      <c r="H29" s="20">
        <f t="shared" si="4"/>
        <v>42.489905469129361</v>
      </c>
      <c r="I29" s="27">
        <f>SUM(pHealthyStage2*C28,pStage1Stage2*F28,(1-SUM(pStage2Remission, pStage2Stage1, pStage2Stage3))*I28,pStage3Stage2*L28,pRemissionStage2*O28)*(1-'Life Table - Female'!B83)</f>
        <v>51.91694873043177</v>
      </c>
      <c r="J29" s="19">
        <f t="shared" si="5"/>
        <v>231106.70775356513</v>
      </c>
      <c r="K29" s="20">
        <f t="shared" si="6"/>
        <v>22.789689236809892</v>
      </c>
      <c r="L29" s="27">
        <f>SUM(pHealthyStage3*C28,pStage2Stage3*I28,(1-SUM(pStage3Death, pStage3Stage2))*L28)*(1-'Life Table - Female'!B83)</f>
        <v>17.563913270452286</v>
      </c>
      <c r="M29" s="19">
        <f t="shared" si="7"/>
        <v>251930.16034579329</v>
      </c>
      <c r="N29" s="20">
        <f t="shared" si="8"/>
        <v>3.9092611088140337</v>
      </c>
      <c r="O29" s="27">
        <f>SUM(pStage1Remission*F28,pStage2Remission*I28,(1-SUM(pRemissionStage1, pRemissionStage2))*O28)*(1-'Life Table - Female'!B83)</f>
        <v>202.11066518755965</v>
      </c>
      <c r="P29" s="19">
        <f t="shared" si="9"/>
        <v>62478.433204373527</v>
      </c>
      <c r="Q29" s="23">
        <f t="shared" si="10"/>
        <v>118.70902308830971</v>
      </c>
      <c r="R29" s="27">
        <f>SUM(pStage3Death*L28*(1-'Life Table - Female'!B83),R28)</f>
        <v>280.04124998191708</v>
      </c>
      <c r="S29" s="19">
        <f t="shared" si="11"/>
        <v>0</v>
      </c>
      <c r="T29" s="23">
        <f t="shared" si="12"/>
        <v>0</v>
      </c>
      <c r="U29" s="181">
        <f>SUM(B28*'Life Table - Female'!B83,U28)</f>
        <v>298.30521942135613</v>
      </c>
      <c r="V29" s="49">
        <f t="shared" si="14"/>
        <v>0</v>
      </c>
      <c r="W29" s="54">
        <v>1.3333333333333333</v>
      </c>
      <c r="X29" s="13">
        <f t="shared" si="15"/>
        <v>622769.67488396727</v>
      </c>
      <c r="Y29" s="25">
        <f t="shared" si="15"/>
        <v>232.39117510778925</v>
      </c>
    </row>
    <row r="30" spans="1:25" x14ac:dyDescent="0.2">
      <c r="A30" s="10">
        <v>27</v>
      </c>
      <c r="B30" s="15">
        <f t="shared" si="13"/>
        <v>392.60540975542636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SUM(pHealthyStage1*C29,(1-SUM(pStage1Remission,pStage1Stage2))*F29,pStage2Stage1*I29,pRemissionStage1*O29)*(1-'Life Table - Female'!B84)</f>
        <v>73.224372207630879</v>
      </c>
      <c r="G30" s="19">
        <f t="shared" si="3"/>
        <v>35162.46504872285</v>
      </c>
      <c r="H30" s="20">
        <f t="shared" si="4"/>
        <v>19.339355776797568</v>
      </c>
      <c r="I30" s="27">
        <f>SUM(pHealthyStage2*C29,pStage1Stage2*F29,(1-SUM(pStage2Remission, pStage2Stage1, pStage2Stage3))*I29,pStage3Stage2*L29,pRemissionStage2*O29)*(1-'Life Table - Female'!B84)</f>
        <v>48.756985829106405</v>
      </c>
      <c r="J30" s="19">
        <f t="shared" si="5"/>
        <v>105359.33477941991</v>
      </c>
      <c r="K30" s="20">
        <f t="shared" si="6"/>
        <v>10.38960106852613</v>
      </c>
      <c r="L30" s="27">
        <f>SUM(pHealthyStage3*C29,pStage2Stage3*I29,(1-SUM(pStage3Death, pStage3Stage2))*L29)*(1-'Life Table - Female'!B84)</f>
        <v>16.40560415355117</v>
      </c>
      <c r="M30" s="19">
        <f t="shared" si="7"/>
        <v>114230.97592072611</v>
      </c>
      <c r="N30" s="20">
        <f t="shared" si="8"/>
        <v>1.7725496263560949</v>
      </c>
      <c r="O30" s="27">
        <f>SUM(pStage1Remission*F29,pStage2Remission*I29,(1-SUM(pRemissionStage1, pRemissionStage2))*O29)*(1-'Life Table - Female'!B84)</f>
        <v>191.39380470174373</v>
      </c>
      <c r="P30" s="19">
        <f t="shared" si="9"/>
        <v>28721.132072683955</v>
      </c>
      <c r="Q30" s="23">
        <f t="shared" si="10"/>
        <v>54.570150938099516</v>
      </c>
      <c r="R30" s="27">
        <f>SUM(pStage3Death*L29*(1-'Life Table - Female'!B84),R29)</f>
        <v>287.5410954022949</v>
      </c>
      <c r="S30" s="19">
        <f t="shared" si="11"/>
        <v>0</v>
      </c>
      <c r="T30" s="23">
        <f t="shared" si="12"/>
        <v>0</v>
      </c>
      <c r="U30" s="181">
        <f>SUM(B29*'Life Table - Female'!B84,U29)</f>
        <v>319.85349484227913</v>
      </c>
      <c r="V30" s="49">
        <f t="shared" si="14"/>
        <v>0</v>
      </c>
      <c r="W30" s="54">
        <v>0.66666666666666663</v>
      </c>
      <c r="X30" s="13">
        <f t="shared" si="15"/>
        <v>283473.90782155283</v>
      </c>
      <c r="Y30" s="25">
        <f t="shared" si="15"/>
        <v>104.9269685094317</v>
      </c>
    </row>
    <row r="31" spans="1:25" x14ac:dyDescent="0.2">
      <c r="A31" s="10">
        <v>28</v>
      </c>
      <c r="B31" s="15">
        <f t="shared" si="13"/>
        <v>363.22240535053106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SUM(pHealthyStage1*C30,(1-SUM(pStage1Remission,pStage1Stage2))*F30,pStage2Stage1*I30,pRemissionStage1*O30)*(1-'Life Table - Female'!B85)</f>
        <v>68.18435821933096</v>
      </c>
      <c r="G31" s="19">
        <f t="shared" si="3"/>
        <v>63577.168869364046</v>
      </c>
      <c r="H31" s="20">
        <f t="shared" si="4"/>
        <v>34.96744287815023</v>
      </c>
      <c r="I31" s="27">
        <f>SUM(pHealthyStage2*C30,pStage1Stage2*F30,(1-SUM(pStage2Remission, pStage2Stage1, pStage2Stage3))*I30,pStage3Stage2*L30,pRemissionStage2*O30)*(1-'Life Table - Female'!B85)</f>
        <v>45.469020733474096</v>
      </c>
      <c r="J31" s="19">
        <f t="shared" si="5"/>
        <v>190785.13873944597</v>
      </c>
      <c r="K31" s="20">
        <f t="shared" si="6"/>
        <v>18.813534514584251</v>
      </c>
      <c r="L31" s="27">
        <f>SUM(pHealthyStage3*C30,pStage2Stage3*I30,(1-SUM(pStage3Death, pStage3Stage2))*L30)*(1-'Life Table - Female'!B85)</f>
        <v>15.222561573771031</v>
      </c>
      <c r="M31" s="19">
        <f t="shared" si="7"/>
        <v>205812.69956311578</v>
      </c>
      <c r="N31" s="20">
        <f t="shared" si="8"/>
        <v>3.1936453380483485</v>
      </c>
      <c r="O31" s="27">
        <f>SUM(pStage1Remission*F30,pStage2Remission*I30,(1-SUM(pRemissionStage1, pRemissionStage2))*O30)*(1-'Life Table - Female'!B85)</f>
        <v>179.84873604249546</v>
      </c>
      <c r="P31" s="19">
        <f t="shared" si="9"/>
        <v>52405.134407505881</v>
      </c>
      <c r="Q31" s="23">
        <f t="shared" si="10"/>
        <v>99.569755374261163</v>
      </c>
      <c r="R31" s="27">
        <f>SUM(pStage3Death*L30*(1-'Life Table - Female'!B85),R30)</f>
        <v>294.50199371641048</v>
      </c>
      <c r="S31" s="19">
        <f t="shared" si="11"/>
        <v>0</v>
      </c>
      <c r="T31" s="23">
        <f t="shared" si="12"/>
        <v>0</v>
      </c>
      <c r="U31" s="181">
        <f>SUM(B30*'Life Table - Female'!B85,U30)</f>
        <v>342.27560093305885</v>
      </c>
      <c r="V31" s="49">
        <f t="shared" si="14"/>
        <v>0</v>
      </c>
      <c r="W31" s="54">
        <v>1.3333333333333333</v>
      </c>
      <c r="X31" s="13">
        <f t="shared" si="15"/>
        <v>512580.14157943166</v>
      </c>
      <c r="Y31" s="25">
        <f t="shared" si="15"/>
        <v>188.30396523966101</v>
      </c>
    </row>
    <row r="32" spans="1:25" x14ac:dyDescent="0.2">
      <c r="A32" s="10">
        <v>29</v>
      </c>
      <c r="B32" s="15">
        <f t="shared" si="13"/>
        <v>333.50633470251626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SUM(pHealthyStage1*C31,(1-SUM(pStage1Remission,pStage1Stage2))*F31,pStage2Stage1*I31,pRemissionStage1*O31)*(1-'Life Table - Female'!B86)</f>
        <v>62.984677753414694</v>
      </c>
      <c r="G32" s="19">
        <f t="shared" si="3"/>
        <v>28509.140144412202</v>
      </c>
      <c r="H32" s="20">
        <f t="shared" si="4"/>
        <v>15.680027079426711</v>
      </c>
      <c r="I32" s="27">
        <f>SUM(pHealthyStage2*C31,pStage1Stage2*F31,(1-SUM(pStage2Remission, pStage2Stage1, pStage2Stage3))*I31,pStage3Stage2*L31,pRemissionStage2*O31)*(1-'Life Table - Female'!B86)</f>
        <v>42.059665773177677</v>
      </c>
      <c r="J32" s="19">
        <f t="shared" si="5"/>
        <v>85669.757618207906</v>
      </c>
      <c r="K32" s="20">
        <f t="shared" si="6"/>
        <v>8.4479899873510576</v>
      </c>
      <c r="L32" s="27">
        <f>SUM(pHealthyStage3*C31,pStage2Stage3*I31,(1-SUM(pStage3Death, pStage3Stage2))*L31)*(1-'Life Table - Female'!B86)</f>
        <v>14.015666667219492</v>
      </c>
      <c r="M32" s="19">
        <f t="shared" si="7"/>
        <v>91987.956159166555</v>
      </c>
      <c r="N32" s="20">
        <f t="shared" si="8"/>
        <v>1.4273993197112052</v>
      </c>
      <c r="O32" s="27">
        <f>SUM(pStage1Remission*F31,pStage2Remission*I31,(1-SUM(pRemissionStage1, pRemissionStage2))*O31)*(1-'Life Table - Female'!B86)</f>
        <v>167.52541349642902</v>
      </c>
      <c r="P32" s="19">
        <f t="shared" si="9"/>
        <v>23696.266603414948</v>
      </c>
      <c r="Q32" s="23">
        <f t="shared" si="10"/>
        <v>45.0229065464884</v>
      </c>
      <c r="R32" s="27">
        <f>SUM(pStage3Death*L31*(1-'Life Table - Female'!B86),R31)</f>
        <v>300.91261997848409</v>
      </c>
      <c r="S32" s="19">
        <f t="shared" si="11"/>
        <v>0</v>
      </c>
      <c r="T32" s="23">
        <f t="shared" si="12"/>
        <v>0</v>
      </c>
      <c r="U32" s="181">
        <f>SUM(B31*'Life Table - Female'!B86,U31)</f>
        <v>365.581045319</v>
      </c>
      <c r="V32" s="49">
        <f t="shared" si="14"/>
        <v>0</v>
      </c>
      <c r="W32" s="54">
        <v>0.66666666666666663</v>
      </c>
      <c r="X32" s="13">
        <f t="shared" si="15"/>
        <v>229863.12052520161</v>
      </c>
      <c r="Y32" s="25">
        <f t="shared" si="15"/>
        <v>83.852134868928047</v>
      </c>
    </row>
    <row r="33" spans="1:25" ht="16" thickBot="1" x14ac:dyDescent="0.25">
      <c r="A33" s="11">
        <v>30</v>
      </c>
      <c r="B33" s="202">
        <f t="shared" si="13"/>
        <v>303.52551109669315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SUM(pHealthyStage1*C32,(1-SUM(pStage1Remission,pStage1Stage2))*F32,pStage2Stage1*I32,pRemissionStage1*O32)*(1-'Life Table - Female'!B87)</f>
        <v>57.645493247161774</v>
      </c>
      <c r="G33" s="21">
        <f t="shared" si="3"/>
        <v>12666.229313916947</v>
      </c>
      <c r="H33" s="22">
        <f t="shared" si="4"/>
        <v>6.9664261226543207</v>
      </c>
      <c r="I33" s="28">
        <f>SUM(pHealthyStage2*C32,pStage1Stage2*F32,(1-SUM(pStage2Remission, pStage2Stage1, pStage2Stage3))*I32,pStage3Stage2*L32,pRemissionStage2*O32)*(1-'Life Table - Female'!B87)</f>
        <v>38.543500849448549</v>
      </c>
      <c r="J33" s="21">
        <f t="shared" si="5"/>
        <v>38110.588836870986</v>
      </c>
      <c r="K33" s="22">
        <f t="shared" si="6"/>
        <v>3.7581275103025558</v>
      </c>
      <c r="L33" s="28">
        <f>SUM(pHealthyStage3*C32,pStage2Stage3*I32,(1-SUM(pStage3Death, pStage3Stage2))*L32)*(1-'Life Table - Female'!B87)</f>
        <v>12.788537620389711</v>
      </c>
      <c r="M33" s="21">
        <f t="shared" si="7"/>
        <v>40744.676539193897</v>
      </c>
      <c r="N33" s="22">
        <f t="shared" si="8"/>
        <v>0.63224498078059488</v>
      </c>
      <c r="O33" s="28">
        <f>SUM(pStage1Remission*F32,pStage2Remission*I32,(1-SUM(pRemissionStage1, pRemissionStage2))*O32)*(1-'Life Table - Female'!B87)</f>
        <v>154.50401037054365</v>
      </c>
      <c r="P33" s="21">
        <f t="shared" si="9"/>
        <v>10608.934427462058</v>
      </c>
      <c r="Q33" s="24">
        <f t="shared" si="10"/>
        <v>20.156975412177911</v>
      </c>
      <c r="R33" s="28">
        <f>SUM(pStage3Death*L32*(1-'Life Table - Female'!B87),R32)</f>
        <v>306.76333745966639</v>
      </c>
      <c r="S33" s="21">
        <f t="shared" si="11"/>
        <v>0</v>
      </c>
      <c r="T33" s="24">
        <f t="shared" si="12"/>
        <v>0</v>
      </c>
      <c r="U33" s="239">
        <f>SUM(B32*'Life Table - Female'!B87,U32)</f>
        <v>389.71115144364074</v>
      </c>
      <c r="V33" s="49">
        <f t="shared" si="14"/>
        <v>0</v>
      </c>
      <c r="W33" s="54">
        <v>0.33333333333333331</v>
      </c>
      <c r="X33" s="13">
        <f t="shared" si="15"/>
        <v>102130.42911744388</v>
      </c>
      <c r="Y33" s="25">
        <f t="shared" si="15"/>
        <v>37.012969035993677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183" t="s">
        <v>80</v>
      </c>
      <c r="W34" s="53"/>
      <c r="X34" s="30">
        <f>SUM(X3:X33)</f>
        <v>24207872.386953447</v>
      </c>
      <c r="Y34" s="31">
        <f>SUM(Y3:Y33)</f>
        <v>13464.239392211461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113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20" width="9.33203125" style="1" bestFit="1" customWidth="1"/>
    <col min="21" max="21" width="6.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 t="shared" ref="B4:B33" si="2">SUM(C3,F3,I3,L3,O3)</f>
        <v>1000</v>
      </c>
      <c r="C4" s="27">
        <f>(1-SUM(pHealthyStage1,pHealthyStage2,pHealthyStage3))*C3</f>
        <v>920</v>
      </c>
      <c r="D4" s="19">
        <f t="shared" ref="D4:D33" si="3">C4*0*V4/(1+discount_rate)^A4</f>
        <v>0</v>
      </c>
      <c r="E4" s="20">
        <f t="shared" si="1"/>
        <v>595.46925566343032</v>
      </c>
      <c r="F4" s="27">
        <f>SUM(pHealthyStage1*C3,(1-SUM(pStage1Remission,pStage1Stage2))*F3,pStage2Stage1*I3,pRemissionStage1*O3)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SUM(pStage1Remission*F3,pStage2Remission*I3,(1-SUM(pRemissionStage1, pRemissionStage2))*O3)</f>
        <v>0</v>
      </c>
      <c r="P4" s="19">
        <f t="shared" ref="P4:P33" si="13">O4*SUM(nVisitsRemission*cVisit,cTreatmentRemission)*V4/(1+discount_rate)^A4</f>
        <v>0</v>
      </c>
      <c r="Q4" s="23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 t="shared" si="2"/>
        <v>1000</v>
      </c>
      <c r="C5" s="27">
        <f t="shared" ref="C5:C33" si="19">(1-SUM(pHealthyStage1,pHealthyStage2,pHealthyStage3))*C4</f>
        <v>846.40000000000009</v>
      </c>
      <c r="D5" s="19">
        <f t="shared" si="3"/>
        <v>0</v>
      </c>
      <c r="E5" s="20">
        <f t="shared" si="1"/>
        <v>1063.7509033210797</v>
      </c>
      <c r="F5" s="27">
        <f t="shared" ref="F5:F33" si="20">SUM(pHealthyStage1*C4,(1-SUM(pStage1Remission,pStage1Stage2))*F4,pStage2Stage1*I4,pRemissionStage1*O4)</f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10368.555000471299</v>
      </c>
      <c r="Q5" s="23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>SUM(C5,F5,I5,L5,O5,R5-R4)-B5</f>
        <v>0</v>
      </c>
      <c r="V5" s="54">
        <v>1.3333333333333333</v>
      </c>
      <c r="W5" s="13">
        <f t="shared" ref="W5:W33" si="21">SUM(D5,G5,J5,M5,P5,S5)</f>
        <v>996600.37075439107</v>
      </c>
      <c r="X5" s="25">
        <f t="shared" ref="X5:X33" si="22">SUM(E5,H5,K5,N5,Q5,T5)</f>
        <v>1211.1930122223271</v>
      </c>
    </row>
    <row r="6" spans="1:24" x14ac:dyDescent="0.2">
      <c r="A6" s="10">
        <v>3</v>
      </c>
      <c r="B6" s="15">
        <f t="shared" si="2"/>
        <v>995.50000000000011</v>
      </c>
      <c r="C6" s="27">
        <f t="shared" si="19"/>
        <v>778.6880000000001</v>
      </c>
      <c r="D6" s="19">
        <f t="shared" si="3"/>
        <v>0</v>
      </c>
      <c r="E6" s="20">
        <f t="shared" si="1"/>
        <v>475.07321895892881</v>
      </c>
      <c r="F6" s="27">
        <f t="shared" si="20"/>
        <v>97.440000000000012</v>
      </c>
      <c r="G6" s="19">
        <f t="shared" si="4"/>
        <v>95116.163506530007</v>
      </c>
      <c r="H6" s="20">
        <f t="shared" si="5"/>
        <v>52.313889928591493</v>
      </c>
      <c r="I6" s="27">
        <f t="shared" si="6"/>
        <v>48.103000000000009</v>
      </c>
      <c r="J6" s="19">
        <f t="shared" si="7"/>
        <v>211301.08435135218</v>
      </c>
      <c r="K6" s="20">
        <f t="shared" si="8"/>
        <v>20.836634706869454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41.08</v>
      </c>
      <c r="P6" s="19">
        <f t="shared" si="13"/>
        <v>12531.339788742598</v>
      </c>
      <c r="Q6" s="23">
        <f t="shared" si="14"/>
        <v>23.809545598610935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21"/>
        <v>636696.02136062656</v>
      </c>
      <c r="X6" s="25">
        <f t="shared" si="22"/>
        <v>576.96385281959726</v>
      </c>
    </row>
    <row r="7" spans="1:24" x14ac:dyDescent="0.2">
      <c r="A7" s="10">
        <v>4</v>
      </c>
      <c r="B7" s="15">
        <f t="shared" si="2"/>
        <v>987.76000000000022</v>
      </c>
      <c r="C7" s="27">
        <f t="shared" si="19"/>
        <v>716.39296000000013</v>
      </c>
      <c r="D7" s="19">
        <f t="shared" si="3"/>
        <v>0</v>
      </c>
      <c r="E7" s="20">
        <f t="shared" si="1"/>
        <v>848.67448823730979</v>
      </c>
      <c r="F7" s="27">
        <f t="shared" si="20"/>
        <v>108.78355000000003</v>
      </c>
      <c r="G7" s="19">
        <f t="shared" si="4"/>
        <v>206192.58709608272</v>
      </c>
      <c r="H7" s="20">
        <f t="shared" si="5"/>
        <v>113.40592290284549</v>
      </c>
      <c r="I7" s="27">
        <f t="shared" si="6"/>
        <v>57.356010000000012</v>
      </c>
      <c r="J7" s="19">
        <f t="shared" si="7"/>
        <v>489216.69124917837</v>
      </c>
      <c r="K7" s="20">
        <f t="shared" si="8"/>
        <v>48.242201498182865</v>
      </c>
      <c r="L7" s="27">
        <f t="shared" si="9"/>
        <v>26.22683</v>
      </c>
      <c r="M7" s="19">
        <f t="shared" si="10"/>
        <v>720814.68173195969</v>
      </c>
      <c r="N7" s="20">
        <f t="shared" si="11"/>
        <v>11.185055406185581</v>
      </c>
      <c r="O7" s="27">
        <f t="shared" si="12"/>
        <v>68.898600000000016</v>
      </c>
      <c r="P7" s="19">
        <f t="shared" si="13"/>
        <v>40810.3424796826</v>
      </c>
      <c r="Q7" s="23">
        <f t="shared" si="14"/>
        <v>77.539650711396945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21"/>
        <v>1457034.3025569033</v>
      </c>
      <c r="X7" s="25">
        <f t="shared" si="22"/>
        <v>1099.0473187559207</v>
      </c>
    </row>
    <row r="8" spans="1:24" x14ac:dyDescent="0.2">
      <c r="A8" s="10">
        <v>5</v>
      </c>
      <c r="B8" s="15">
        <f t="shared" si="2"/>
        <v>977.65795000000003</v>
      </c>
      <c r="C8" s="27">
        <f t="shared" si="19"/>
        <v>659.08152320000011</v>
      </c>
      <c r="D8" s="19">
        <f t="shared" si="3"/>
        <v>0</v>
      </c>
      <c r="E8" s="20">
        <f t="shared" si="1"/>
        <v>379.01967435841021</v>
      </c>
      <c r="F8" s="27">
        <f t="shared" si="20"/>
        <v>116.28661600000002</v>
      </c>
      <c r="G8" s="19">
        <f t="shared" si="4"/>
        <v>106997.18023243532</v>
      </c>
      <c r="H8" s="20">
        <f t="shared" si="5"/>
        <v>58.848449127839423</v>
      </c>
      <c r="I8" s="27">
        <f t="shared" si="6"/>
        <v>64.376091700000018</v>
      </c>
      <c r="J8" s="19">
        <f t="shared" si="7"/>
        <v>266550.63458275434</v>
      </c>
      <c r="K8" s="20">
        <f t="shared" si="8"/>
        <v>26.284854243577161</v>
      </c>
      <c r="L8" s="27">
        <f t="shared" si="9"/>
        <v>28.880746100000003</v>
      </c>
      <c r="M8" s="19">
        <f t="shared" si="10"/>
        <v>385317.74574796378</v>
      </c>
      <c r="N8" s="20">
        <f t="shared" si="11"/>
        <v>5.9790684685028852</v>
      </c>
      <c r="O8" s="27">
        <f t="shared" si="12"/>
        <v>97.230899500000021</v>
      </c>
      <c r="P8" s="19">
        <f t="shared" si="13"/>
        <v>27957.409340757946</v>
      </c>
      <c r="Q8" s="23">
        <f t="shared" si="14"/>
        <v>53.119077747440102</v>
      </c>
      <c r="R8" s="27">
        <f t="shared" si="15"/>
        <v>34.144123499999999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21"/>
        <v>786822.96990391146</v>
      </c>
      <c r="X8" s="25">
        <f t="shared" si="22"/>
        <v>523.25112394576979</v>
      </c>
    </row>
    <row r="9" spans="1:24" x14ac:dyDescent="0.2">
      <c r="A9" s="10">
        <v>6</v>
      </c>
      <c r="B9" s="15">
        <f t="shared" si="2"/>
        <v>965.85587650000002</v>
      </c>
      <c r="C9" s="27">
        <f t="shared" si="19"/>
        <v>606.35500134400013</v>
      </c>
      <c r="D9" s="19">
        <f t="shared" si="3"/>
        <v>0</v>
      </c>
      <c r="E9" s="20">
        <f t="shared" si="1"/>
        <v>677.08369011599495</v>
      </c>
      <c r="F9" s="27">
        <f t="shared" si="20"/>
        <v>121.48227109500003</v>
      </c>
      <c r="G9" s="19">
        <f t="shared" si="4"/>
        <v>217044.24428424169</v>
      </c>
      <c r="H9" s="20">
        <f t="shared" si="5"/>
        <v>119.37433435633294</v>
      </c>
      <c r="I9" s="27">
        <f t="shared" si="6"/>
        <v>69.741529364000016</v>
      </c>
      <c r="J9" s="19">
        <f t="shared" si="7"/>
        <v>560711.35564215179</v>
      </c>
      <c r="K9" s="20">
        <f t="shared" si="8"/>
        <v>55.292369792489964</v>
      </c>
      <c r="L9" s="27">
        <f t="shared" si="9"/>
        <v>30.687602037000005</v>
      </c>
      <c r="M9" s="19">
        <f t="shared" si="10"/>
        <v>794998.5321167591</v>
      </c>
      <c r="N9" s="20">
        <f t="shared" si="11"/>
        <v>12.336184119053158</v>
      </c>
      <c r="O9" s="27">
        <f t="shared" si="12"/>
        <v>124.59313691500003</v>
      </c>
      <c r="P9" s="19">
        <f t="shared" si="13"/>
        <v>69563.19377142904</v>
      </c>
      <c r="Q9" s="23">
        <f t="shared" si="14"/>
        <v>132.17006816571521</v>
      </c>
      <c r="R9" s="27">
        <f t="shared" si="15"/>
        <v>47.140459245000002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21"/>
        <v>1642317.3258145817</v>
      </c>
      <c r="X9" s="25">
        <f t="shared" si="22"/>
        <v>996.25664654958621</v>
      </c>
    </row>
    <row r="10" spans="1:24" x14ac:dyDescent="0.2">
      <c r="A10" s="10">
        <v>7</v>
      </c>
      <c r="B10" s="15">
        <f t="shared" si="2"/>
        <v>952.85954075500024</v>
      </c>
      <c r="C10" s="27">
        <f t="shared" si="19"/>
        <v>557.84660123648018</v>
      </c>
      <c r="D10" s="19">
        <f t="shared" si="3"/>
        <v>0</v>
      </c>
      <c r="E10" s="20">
        <f t="shared" si="1"/>
        <v>302.38689073141524</v>
      </c>
      <c r="F10" s="27">
        <f t="shared" si="20"/>
        <v>125.22761643865003</v>
      </c>
      <c r="G10" s="19">
        <f t="shared" si="4"/>
        <v>108609.61270616294</v>
      </c>
      <c r="H10" s="20">
        <f t="shared" si="5"/>
        <v>59.735286988389625</v>
      </c>
      <c r="I10" s="27">
        <f t="shared" si="6"/>
        <v>73.884281702380022</v>
      </c>
      <c r="J10" s="19">
        <f t="shared" si="7"/>
        <v>288358.47491475008</v>
      </c>
      <c r="K10" s="20">
        <f t="shared" si="8"/>
        <v>28.435349609648963</v>
      </c>
      <c r="L10" s="27">
        <f t="shared" si="9"/>
        <v>31.868580436540007</v>
      </c>
      <c r="M10" s="19">
        <f t="shared" si="10"/>
        <v>400773.38384740957</v>
      </c>
      <c r="N10" s="20">
        <f t="shared" si="11"/>
        <v>6.2188973355632511</v>
      </c>
      <c r="O10" s="27">
        <f t="shared" si="12"/>
        <v>150.22304002430005</v>
      </c>
      <c r="P10" s="19">
        <f t="shared" si="13"/>
        <v>40715.026217317085</v>
      </c>
      <c r="Q10" s="23">
        <f t="shared" si="14"/>
        <v>77.358549812902453</v>
      </c>
      <c r="R10" s="27">
        <f t="shared" si="15"/>
        <v>60.949880161650007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21"/>
        <v>838456.49768563977</v>
      </c>
      <c r="X10" s="25">
        <f t="shared" si="22"/>
        <v>474.13497447791951</v>
      </c>
    </row>
    <row r="11" spans="1:24" x14ac:dyDescent="0.2">
      <c r="A11" s="10">
        <v>8</v>
      </c>
      <c r="B11" s="15">
        <f t="shared" si="2"/>
        <v>939.05011983835027</v>
      </c>
      <c r="C11" s="27">
        <f t="shared" si="19"/>
        <v>513.21887313756179</v>
      </c>
      <c r="D11" s="19">
        <f t="shared" si="3"/>
        <v>0</v>
      </c>
      <c r="E11" s="20">
        <f t="shared" si="1"/>
        <v>540.18629023864469</v>
      </c>
      <c r="F11" s="27">
        <f t="shared" si="20"/>
        <v>128.00679883449556</v>
      </c>
      <c r="G11" s="19">
        <f t="shared" si="4"/>
        <v>215572.79798382323</v>
      </c>
      <c r="H11" s="20">
        <f t="shared" si="5"/>
        <v>118.56503889110276</v>
      </c>
      <c r="I11" s="27">
        <f t="shared" si="6"/>
        <v>77.11484371306463</v>
      </c>
      <c r="J11" s="19">
        <f t="shared" si="7"/>
        <v>584401.62940578407</v>
      </c>
      <c r="K11" s="20">
        <f t="shared" si="8"/>
        <v>57.628494010848144</v>
      </c>
      <c r="L11" s="27">
        <f t="shared" si="9"/>
        <v>32.595398485991808</v>
      </c>
      <c r="M11" s="19">
        <f t="shared" si="10"/>
        <v>795948.95815311791</v>
      </c>
      <c r="N11" s="20">
        <f t="shared" si="11"/>
        <v>12.350932109272518</v>
      </c>
      <c r="O11" s="27">
        <f t="shared" si="12"/>
        <v>173.77334447079355</v>
      </c>
      <c r="P11" s="19">
        <f t="shared" si="13"/>
        <v>91452.188535240624</v>
      </c>
      <c r="Q11" s="23">
        <f t="shared" si="14"/>
        <v>173.75915821695719</v>
      </c>
      <c r="R11" s="27">
        <f t="shared" si="15"/>
        <v>75.290741358093015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21"/>
        <v>1687375.5740779659</v>
      </c>
      <c r="X11" s="25">
        <f t="shared" si="22"/>
        <v>902.48991346682533</v>
      </c>
    </row>
    <row r="12" spans="1:24" x14ac:dyDescent="0.2">
      <c r="A12" s="10">
        <v>9</v>
      </c>
      <c r="B12" s="15">
        <f t="shared" si="2"/>
        <v>924.70925864190735</v>
      </c>
      <c r="C12" s="27">
        <f t="shared" si="19"/>
        <v>472.16136328655688</v>
      </c>
      <c r="D12" s="19">
        <f t="shared" si="3"/>
        <v>0</v>
      </c>
      <c r="E12" s="20">
        <f t="shared" si="1"/>
        <v>241.2482461259967</v>
      </c>
      <c r="F12" s="27">
        <f t="shared" si="20"/>
        <v>130.09843953203278</v>
      </c>
      <c r="G12" s="19">
        <f t="shared" si="4"/>
        <v>106356.9289697552</v>
      </c>
      <c r="H12" s="20">
        <f t="shared" si="5"/>
        <v>58.496310933365365</v>
      </c>
      <c r="I12" s="27">
        <f t="shared" si="6"/>
        <v>79.652400721878848</v>
      </c>
      <c r="J12" s="19">
        <f t="shared" si="7"/>
        <v>293025.2768860202</v>
      </c>
      <c r="K12" s="20">
        <f t="shared" si="8"/>
        <v>28.895548137371431</v>
      </c>
      <c r="L12" s="27">
        <f t="shared" si="9"/>
        <v>32.997114531331221</v>
      </c>
      <c r="M12" s="19">
        <f t="shared" si="10"/>
        <v>391144.89609614253</v>
      </c>
      <c r="N12" s="20">
        <f t="shared" si="11"/>
        <v>6.0694897670091077</v>
      </c>
      <c r="O12" s="27">
        <f t="shared" si="12"/>
        <v>195.13201125141131</v>
      </c>
      <c r="P12" s="19">
        <f t="shared" si="13"/>
        <v>49850.812812982171</v>
      </c>
      <c r="Q12" s="23">
        <f t="shared" si="14"/>
        <v>94.716544344666119</v>
      </c>
      <c r="R12" s="27">
        <f t="shared" si="15"/>
        <v>89.958670676789325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21"/>
        <v>840377.91476489999</v>
      </c>
      <c r="X12" s="25">
        <f t="shared" si="22"/>
        <v>429.42613930840866</v>
      </c>
    </row>
    <row r="13" spans="1:24" x14ac:dyDescent="0.2">
      <c r="A13" s="10">
        <v>10</v>
      </c>
      <c r="B13" s="15">
        <f t="shared" si="2"/>
        <v>910.04132932321102</v>
      </c>
      <c r="C13" s="27">
        <f t="shared" si="19"/>
        <v>434.38845422363232</v>
      </c>
      <c r="D13" s="19">
        <f t="shared" si="3"/>
        <v>0</v>
      </c>
      <c r="E13" s="20">
        <f t="shared" si="1"/>
        <v>430.96774065226595</v>
      </c>
      <c r="F13" s="27">
        <f t="shared" si="20"/>
        <v>131.66787502138425</v>
      </c>
      <c r="G13" s="19">
        <f t="shared" si="4"/>
        <v>209009.63112702832</v>
      </c>
      <c r="H13" s="20">
        <f t="shared" si="5"/>
        <v>114.95529711986558</v>
      </c>
      <c r="I13" s="27">
        <f t="shared" si="6"/>
        <v>81.650967941198857</v>
      </c>
      <c r="J13" s="19">
        <f t="shared" si="7"/>
        <v>583257.48854854715</v>
      </c>
      <c r="K13" s="20">
        <f t="shared" si="8"/>
        <v>57.515669009648391</v>
      </c>
      <c r="L13" s="27">
        <f t="shared" si="9"/>
        <v>33.16803100681301</v>
      </c>
      <c r="M13" s="19">
        <f t="shared" si="10"/>
        <v>763438.68927678757</v>
      </c>
      <c r="N13" s="20">
        <f t="shared" si="11"/>
        <v>11.846462419812223</v>
      </c>
      <c r="O13" s="27">
        <f t="shared" si="12"/>
        <v>214.31729959108358</v>
      </c>
      <c r="P13" s="19">
        <f t="shared" si="13"/>
        <v>106314.79898854911</v>
      </c>
      <c r="Q13" s="23">
        <f t="shared" si="14"/>
        <v>201.99811807824332</v>
      </c>
      <c r="R13" s="27">
        <f t="shared" si="15"/>
        <v>104.80737221588838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21"/>
        <v>1662020.6079409122</v>
      </c>
      <c r="X13" s="25">
        <f t="shared" si="22"/>
        <v>817.28328727983546</v>
      </c>
    </row>
    <row r="14" spans="1:24" x14ac:dyDescent="0.2">
      <c r="A14" s="10">
        <v>11</v>
      </c>
      <c r="B14" s="15">
        <f t="shared" si="2"/>
        <v>895.19262778411189</v>
      </c>
      <c r="C14" s="27">
        <f t="shared" si="19"/>
        <v>399.63737788574173</v>
      </c>
      <c r="D14" s="19">
        <f t="shared" si="3"/>
        <v>0</v>
      </c>
      <c r="E14" s="20">
        <f t="shared" si="1"/>
        <v>192.47102980586635</v>
      </c>
      <c r="F14" s="27">
        <f t="shared" si="20"/>
        <v>132.81781983124969</v>
      </c>
      <c r="G14" s="19">
        <f t="shared" si="4"/>
        <v>102347.11355472619</v>
      </c>
      <c r="H14" s="20">
        <f t="shared" si="5"/>
        <v>56.290912455099402</v>
      </c>
      <c r="I14" s="27">
        <f t="shared" si="6"/>
        <v>83.219403881225219</v>
      </c>
      <c r="J14" s="19">
        <f t="shared" si="7"/>
        <v>288573.44635038101</v>
      </c>
      <c r="K14" s="20">
        <f t="shared" si="8"/>
        <v>28.45654818177368</v>
      </c>
      <c r="L14" s="27">
        <f t="shared" si="9"/>
        <v>33.175545236822657</v>
      </c>
      <c r="M14" s="19">
        <f t="shared" si="10"/>
        <v>370685.26534054242</v>
      </c>
      <c r="N14" s="20">
        <f t="shared" si="11"/>
        <v>5.7520127380428985</v>
      </c>
      <c r="O14" s="27">
        <f t="shared" si="12"/>
        <v>231.41686699600689</v>
      </c>
      <c r="P14" s="19">
        <f t="shared" si="13"/>
        <v>55726.822827247088</v>
      </c>
      <c r="Q14" s="23">
        <f t="shared" si="14"/>
        <v>105.88096337176947</v>
      </c>
      <c r="R14" s="27">
        <f t="shared" si="15"/>
        <v>119.73298616895423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21"/>
        <v>817332.64807289664</v>
      </c>
      <c r="X14" s="25">
        <f t="shared" si="22"/>
        <v>388.85146655255176</v>
      </c>
    </row>
    <row r="15" spans="1:24" x14ac:dyDescent="0.2">
      <c r="A15" s="10">
        <v>12</v>
      </c>
      <c r="B15" s="15">
        <f t="shared" si="2"/>
        <v>880.26701383104626</v>
      </c>
      <c r="C15" s="27">
        <f t="shared" si="19"/>
        <v>367.66638765488239</v>
      </c>
      <c r="D15" s="19">
        <f t="shared" si="3"/>
        <v>0</v>
      </c>
      <c r="E15" s="20">
        <f t="shared" si="1"/>
        <v>343.83174256581952</v>
      </c>
      <c r="F15" s="27">
        <f t="shared" si="20"/>
        <v>133.61610867826136</v>
      </c>
      <c r="G15" s="19">
        <f t="shared" si="4"/>
        <v>199926.7206327685</v>
      </c>
      <c r="H15" s="20">
        <f t="shared" si="5"/>
        <v>109.95969634802267</v>
      </c>
      <c r="I15" s="27">
        <f t="shared" si="6"/>
        <v>84.43579248121641</v>
      </c>
      <c r="J15" s="19">
        <f t="shared" si="7"/>
        <v>568527.03373895329</v>
      </c>
      <c r="K15" s="20">
        <f t="shared" si="8"/>
        <v>56.063082493702346</v>
      </c>
      <c r="L15" s="27">
        <f t="shared" si="9"/>
        <v>33.067056979452531</v>
      </c>
      <c r="M15" s="19">
        <f t="shared" si="10"/>
        <v>717423.45110922283</v>
      </c>
      <c r="N15" s="20">
        <f t="shared" si="11"/>
        <v>11.132432862039664</v>
      </c>
      <c r="O15" s="27">
        <f t="shared" si="12"/>
        <v>246.55267268066331</v>
      </c>
      <c r="P15" s="19">
        <f t="shared" si="13"/>
        <v>115284.72268401396</v>
      </c>
      <c r="Q15" s="23">
        <f t="shared" si="14"/>
        <v>219.04097309962654</v>
      </c>
      <c r="R15" s="27">
        <f t="shared" si="15"/>
        <v>134.66198152552442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21"/>
        <v>1601161.9281649585</v>
      </c>
      <c r="X15" s="25">
        <f t="shared" si="22"/>
        <v>740.02792736921072</v>
      </c>
    </row>
    <row r="16" spans="1:24" x14ac:dyDescent="0.2">
      <c r="A16" s="10">
        <v>13</v>
      </c>
      <c r="B16" s="15">
        <f t="shared" si="2"/>
        <v>865.33801847447603</v>
      </c>
      <c r="C16" s="27">
        <f t="shared" si="19"/>
        <v>338.25307664249181</v>
      </c>
      <c r="D16" s="19">
        <f t="shared" si="3"/>
        <v>0</v>
      </c>
      <c r="E16" s="20">
        <f t="shared" si="1"/>
        <v>153.5559238643466</v>
      </c>
      <c r="F16" s="27">
        <f t="shared" si="20"/>
        <v>134.11084691574115</v>
      </c>
      <c r="G16" s="19">
        <f t="shared" si="4"/>
        <v>97411.158309220133</v>
      </c>
      <c r="H16" s="20">
        <f t="shared" si="5"/>
        <v>53.576137070071077</v>
      </c>
      <c r="I16" s="27">
        <f t="shared" si="6"/>
        <v>85.357400592659417</v>
      </c>
      <c r="J16" s="19">
        <f t="shared" si="7"/>
        <v>278996.33429714834</v>
      </c>
      <c r="K16" s="20">
        <f t="shared" si="8"/>
        <v>27.512138520968794</v>
      </c>
      <c r="L16" s="27">
        <f t="shared" si="9"/>
        <v>32.87556123845755</v>
      </c>
      <c r="M16" s="19">
        <f t="shared" si="10"/>
        <v>346246.96899856423</v>
      </c>
      <c r="N16" s="20">
        <f t="shared" si="11"/>
        <v>5.3727977948053072</v>
      </c>
      <c r="O16" s="27">
        <f t="shared" si="12"/>
        <v>259.86095744437245</v>
      </c>
      <c r="P16" s="19">
        <f t="shared" si="13"/>
        <v>58984.222394551856</v>
      </c>
      <c r="Q16" s="23">
        <f t="shared" si="14"/>
        <v>112.07002254964853</v>
      </c>
      <c r="R16" s="27">
        <f t="shared" si="15"/>
        <v>149.54215716627806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21"/>
        <v>781638.68399948464</v>
      </c>
      <c r="X16" s="25">
        <f t="shared" si="22"/>
        <v>352.08701979984028</v>
      </c>
    </row>
    <row r="17" spans="1:24" x14ac:dyDescent="0.2">
      <c r="A17" s="10">
        <v>14</v>
      </c>
      <c r="B17" s="15">
        <f t="shared" si="2"/>
        <v>850.45784283372222</v>
      </c>
      <c r="C17" s="27">
        <f t="shared" si="19"/>
        <v>311.1928305110925</v>
      </c>
      <c r="D17" s="19">
        <f t="shared" si="3"/>
        <v>0</v>
      </c>
      <c r="E17" s="20">
        <f t="shared" si="1"/>
        <v>274.31349505863858</v>
      </c>
      <c r="F17" s="27">
        <f t="shared" si="20"/>
        <v>134.33867010142654</v>
      </c>
      <c r="G17" s="19">
        <f t="shared" si="4"/>
        <v>189469.19853663247</v>
      </c>
      <c r="H17" s="20">
        <f t="shared" si="5"/>
        <v>104.20805919514785</v>
      </c>
      <c r="I17" s="27">
        <f t="shared" si="6"/>
        <v>86.027412514161099</v>
      </c>
      <c r="J17" s="19">
        <f t="shared" si="7"/>
        <v>545992.84033550788</v>
      </c>
      <c r="K17" s="20">
        <f t="shared" si="8"/>
        <v>53.840960644195917</v>
      </c>
      <c r="L17" s="27">
        <f t="shared" si="9"/>
        <v>32.623921474552603</v>
      </c>
      <c r="M17" s="19">
        <f t="shared" si="10"/>
        <v>667178.03316394589</v>
      </c>
      <c r="N17" s="20">
        <f t="shared" si="11"/>
        <v>10.352762583578471</v>
      </c>
      <c r="O17" s="27">
        <f t="shared" si="12"/>
        <v>271.48100567518372</v>
      </c>
      <c r="P17" s="19">
        <f t="shared" si="13"/>
        <v>119653.95119560638</v>
      </c>
      <c r="Q17" s="23">
        <f t="shared" si="14"/>
        <v>227.3425072716521</v>
      </c>
      <c r="R17" s="27">
        <f t="shared" si="15"/>
        <v>164.33615972358396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21"/>
        <v>1522294.0232316926</v>
      </c>
      <c r="X17" s="25">
        <f t="shared" si="22"/>
        <v>670.0577847532129</v>
      </c>
    </row>
    <row r="18" spans="1:24" x14ac:dyDescent="0.2">
      <c r="A18" s="10">
        <v>15</v>
      </c>
      <c r="B18" s="15">
        <f t="shared" si="2"/>
        <v>835.66384027641652</v>
      </c>
      <c r="C18" s="27">
        <f t="shared" si="19"/>
        <v>286.29740407020512</v>
      </c>
      <c r="D18" s="19">
        <f t="shared" si="3"/>
        <v>0</v>
      </c>
      <c r="E18" s="20">
        <f t="shared" si="1"/>
        <v>122.5089395407512</v>
      </c>
      <c r="F18" s="27">
        <f t="shared" si="20"/>
        <v>134.32924828470831</v>
      </c>
      <c r="G18" s="19">
        <f t="shared" si="4"/>
        <v>91968.888422784075</v>
      </c>
      <c r="H18" s="20">
        <f t="shared" si="5"/>
        <v>50.582888632531244</v>
      </c>
      <c r="I18" s="27">
        <f t="shared" si="6"/>
        <v>86.479417486347984</v>
      </c>
      <c r="J18" s="19">
        <f t="shared" si="7"/>
        <v>266437.66712410114</v>
      </c>
      <c r="K18" s="20">
        <f t="shared" si="8"/>
        <v>26.273714396959974</v>
      </c>
      <c r="L18" s="27">
        <f t="shared" si="9"/>
        <v>32.328000919511389</v>
      </c>
      <c r="M18" s="19">
        <f t="shared" si="10"/>
        <v>320935.09074323915</v>
      </c>
      <c r="N18" s="20">
        <f t="shared" si="11"/>
        <v>4.9800272701537098</v>
      </c>
      <c r="O18" s="27">
        <f t="shared" si="12"/>
        <v>281.54900485209498</v>
      </c>
      <c r="P18" s="19">
        <f t="shared" si="13"/>
        <v>60238.530847324524</v>
      </c>
      <c r="Q18" s="23">
        <f t="shared" si="14"/>
        <v>114.45320860991662</v>
      </c>
      <c r="R18" s="27">
        <f t="shared" si="15"/>
        <v>179.01692438713263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21"/>
        <v>739580.17713744892</v>
      </c>
      <c r="X18" s="25">
        <f t="shared" si="22"/>
        <v>318.79877845031274</v>
      </c>
    </row>
    <row r="19" spans="1:24" x14ac:dyDescent="0.2">
      <c r="A19" s="10">
        <v>16</v>
      </c>
      <c r="B19" s="15">
        <f t="shared" si="2"/>
        <v>820.98307561286776</v>
      </c>
      <c r="C19" s="27">
        <f t="shared" si="19"/>
        <v>263.39361174458872</v>
      </c>
      <c r="D19" s="19">
        <f t="shared" si="3"/>
        <v>0</v>
      </c>
      <c r="E19" s="20">
        <f t="shared" si="1"/>
        <v>218.850921121342</v>
      </c>
      <c r="F19" s="27">
        <f t="shared" si="20"/>
        <v>134.10775294809756</v>
      </c>
      <c r="G19" s="19">
        <f t="shared" si="4"/>
        <v>178285.90491808686</v>
      </c>
      <c r="H19" s="20">
        <f t="shared" si="5"/>
        <v>98.05724770494777</v>
      </c>
      <c r="I19" s="27">
        <f t="shared" si="6"/>
        <v>86.74037369026405</v>
      </c>
      <c r="J19" s="19">
        <f t="shared" si="7"/>
        <v>518915.83852195949</v>
      </c>
      <c r="K19" s="20">
        <f t="shared" si="8"/>
        <v>51.170867409804337</v>
      </c>
      <c r="L19" s="27">
        <f t="shared" si="9"/>
        <v>31.998887123409943</v>
      </c>
      <c r="M19" s="19">
        <f t="shared" si="10"/>
        <v>616830.72839169472</v>
      </c>
      <c r="N19" s="20">
        <f t="shared" si="11"/>
        <v>9.5715113026297445</v>
      </c>
      <c r="O19" s="27">
        <f t="shared" si="12"/>
        <v>290.19484969272742</v>
      </c>
      <c r="P19" s="19">
        <f t="shared" si="13"/>
        <v>120559.89084030539</v>
      </c>
      <c r="Q19" s="23">
        <f t="shared" si="14"/>
        <v>229.06379259658021</v>
      </c>
      <c r="R19" s="27">
        <f t="shared" si="15"/>
        <v>193.56452480091275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21"/>
        <v>1434592.3626720465</v>
      </c>
      <c r="X19" s="25">
        <f t="shared" si="22"/>
        <v>606.71434013530404</v>
      </c>
    </row>
    <row r="20" spans="1:24" x14ac:dyDescent="0.2">
      <c r="A20" s="10">
        <v>17</v>
      </c>
      <c r="B20" s="15">
        <f t="shared" si="2"/>
        <v>806.4354751990877</v>
      </c>
      <c r="C20" s="27">
        <f t="shared" si="19"/>
        <v>242.32212280502165</v>
      </c>
      <c r="D20" s="19">
        <f t="shared" si="3"/>
        <v>0</v>
      </c>
      <c r="E20" s="20">
        <f t="shared" si="1"/>
        <v>97.739246326036238</v>
      </c>
      <c r="F20" s="27">
        <f t="shared" si="20"/>
        <v>133.69622365727881</v>
      </c>
      <c r="G20" s="19">
        <f t="shared" si="4"/>
        <v>86280.974997327401</v>
      </c>
      <c r="H20" s="20">
        <f t="shared" si="5"/>
        <v>47.454536248530069</v>
      </c>
      <c r="I20" s="27">
        <f t="shared" si="6"/>
        <v>86.832558584666828</v>
      </c>
      <c r="J20" s="19">
        <f t="shared" si="7"/>
        <v>252168.60469681438</v>
      </c>
      <c r="K20" s="20">
        <f t="shared" si="8"/>
        <v>24.866626296491418</v>
      </c>
      <c r="L20" s="27">
        <f t="shared" si="9"/>
        <v>31.644435732690468</v>
      </c>
      <c r="M20" s="19">
        <f t="shared" si="10"/>
        <v>296115.58245062095</v>
      </c>
      <c r="N20" s="20">
        <f t="shared" si="11"/>
        <v>4.5948969690613595</v>
      </c>
      <c r="O20" s="27">
        <f t="shared" si="12"/>
        <v>297.54063521389548</v>
      </c>
      <c r="P20" s="19">
        <f t="shared" si="13"/>
        <v>60005.65920383553</v>
      </c>
      <c r="Q20" s="23">
        <f t="shared" si="14"/>
        <v>114.01075248728753</v>
      </c>
      <c r="R20" s="27">
        <f t="shared" si="15"/>
        <v>207.96402400644723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21"/>
        <v>694570.82134859823</v>
      </c>
      <c r="X20" s="25">
        <f t="shared" si="22"/>
        <v>288.66605832740663</v>
      </c>
    </row>
    <row r="21" spans="1:24" x14ac:dyDescent="0.2">
      <c r="A21" s="10">
        <v>18</v>
      </c>
      <c r="B21" s="15">
        <f t="shared" si="2"/>
        <v>792.03597599355317</v>
      </c>
      <c r="C21" s="27">
        <f t="shared" si="19"/>
        <v>222.93635298061992</v>
      </c>
      <c r="D21" s="19">
        <f t="shared" si="3"/>
        <v>0</v>
      </c>
      <c r="E21" s="20">
        <f t="shared" si="1"/>
        <v>174.60214877660846</v>
      </c>
      <c r="F21" s="27">
        <f t="shared" si="20"/>
        <v>133.11434296810521</v>
      </c>
      <c r="G21" s="19">
        <f t="shared" si="4"/>
        <v>166806.71414581215</v>
      </c>
      <c r="H21" s="20">
        <f t="shared" si="5"/>
        <v>91.743692780196668</v>
      </c>
      <c r="I21" s="27">
        <f t="shared" si="6"/>
        <v>86.774853519957702</v>
      </c>
      <c r="J21" s="19">
        <f t="shared" si="7"/>
        <v>489322.37792943325</v>
      </c>
      <c r="K21" s="20">
        <f t="shared" si="8"/>
        <v>48.252623379152446</v>
      </c>
      <c r="L21" s="27">
        <f t="shared" si="9"/>
        <v>31.270322882095474</v>
      </c>
      <c r="M21" s="19">
        <f t="shared" si="10"/>
        <v>568184.05561762687</v>
      </c>
      <c r="N21" s="20">
        <f t="shared" si="11"/>
        <v>8.8166491388942099</v>
      </c>
      <c r="O21" s="27">
        <f t="shared" si="12"/>
        <v>303.70010756306425</v>
      </c>
      <c r="P21" s="19">
        <f t="shared" si="13"/>
        <v>118927.87034335265</v>
      </c>
      <c r="Q21" s="23">
        <f t="shared" si="14"/>
        <v>225.96295365237003</v>
      </c>
      <c r="R21" s="27">
        <f t="shared" si="15"/>
        <v>222.20402008615795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21"/>
        <v>1343241.0180362249</v>
      </c>
      <c r="X21" s="25">
        <f t="shared" si="22"/>
        <v>549.37806772722183</v>
      </c>
    </row>
    <row r="22" spans="1:24" x14ac:dyDescent="0.2">
      <c r="A22" s="10">
        <v>19</v>
      </c>
      <c r="B22" s="15">
        <f t="shared" si="2"/>
        <v>777.79597991384253</v>
      </c>
      <c r="C22" s="27">
        <f t="shared" si="19"/>
        <v>205.10144474217034</v>
      </c>
      <c r="D22" s="19">
        <f t="shared" si="3"/>
        <v>0</v>
      </c>
      <c r="E22" s="20">
        <f t="shared" si="1"/>
        <v>77.977658676931924</v>
      </c>
      <c r="F22" s="27">
        <f t="shared" si="20"/>
        <v>132.37989401060372</v>
      </c>
      <c r="G22" s="19">
        <f t="shared" si="4"/>
        <v>80527.364037430336</v>
      </c>
      <c r="H22" s="20">
        <f t="shared" si="5"/>
        <v>44.290050220586679</v>
      </c>
      <c r="I22" s="27">
        <f t="shared" si="6"/>
        <v>86.583594990655513</v>
      </c>
      <c r="J22" s="19">
        <f t="shared" si="7"/>
        <v>237011.58899670636</v>
      </c>
      <c r="K22" s="20">
        <f t="shared" si="8"/>
        <v>23.371976137175206</v>
      </c>
      <c r="L22" s="27">
        <f t="shared" si="9"/>
        <v>30.880752998847591</v>
      </c>
      <c r="M22" s="19">
        <f t="shared" si="10"/>
        <v>272381.33122534596</v>
      </c>
      <c r="N22" s="20">
        <f t="shared" si="11"/>
        <v>4.2266068638415755</v>
      </c>
      <c r="O22" s="27">
        <f t="shared" si="12"/>
        <v>308.77864787462244</v>
      </c>
      <c r="P22" s="19">
        <f t="shared" si="13"/>
        <v>58697.38275359229</v>
      </c>
      <c r="Q22" s="23">
        <f t="shared" si="14"/>
        <v>111.52502723182535</v>
      </c>
      <c r="R22" s="27">
        <f t="shared" si="15"/>
        <v>236.27566538310091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21"/>
        <v>648617.66701307497</v>
      </c>
      <c r="X22" s="25">
        <f t="shared" si="22"/>
        <v>261.39131913036073</v>
      </c>
    </row>
    <row r="23" spans="1:24" x14ac:dyDescent="0.2">
      <c r="A23" s="10">
        <v>20</v>
      </c>
      <c r="B23" s="15">
        <f t="shared" si="2"/>
        <v>763.72433461689957</v>
      </c>
      <c r="C23" s="27">
        <f t="shared" si="19"/>
        <v>188.69332916279672</v>
      </c>
      <c r="D23" s="19">
        <f t="shared" si="3"/>
        <v>0</v>
      </c>
      <c r="E23" s="20">
        <f t="shared" si="1"/>
        <v>139.29989511218909</v>
      </c>
      <c r="F23" s="27">
        <f t="shared" si="20"/>
        <v>131.50904788099595</v>
      </c>
      <c r="G23" s="19">
        <f t="shared" si="4"/>
        <v>155335.19203805283</v>
      </c>
      <c r="H23" s="20">
        <f t="shared" si="5"/>
        <v>85.434355620929068</v>
      </c>
      <c r="I23" s="27">
        <f t="shared" si="6"/>
        <v>86.273145333970589</v>
      </c>
      <c r="J23" s="19">
        <f t="shared" si="7"/>
        <v>458566.54856460908</v>
      </c>
      <c r="K23" s="20">
        <f t="shared" si="8"/>
        <v>45.219756872343396</v>
      </c>
      <c r="L23" s="27">
        <f t="shared" si="9"/>
        <v>30.478930195443823</v>
      </c>
      <c r="M23" s="19">
        <f t="shared" si="10"/>
        <v>522013.75490122178</v>
      </c>
      <c r="N23" s="20">
        <f t="shared" si="11"/>
        <v>8.1002134381224078</v>
      </c>
      <c r="O23" s="27">
        <f t="shared" si="12"/>
        <v>312.87354319421115</v>
      </c>
      <c r="P23" s="19">
        <f t="shared" si="13"/>
        <v>115486.9966620038</v>
      </c>
      <c r="Q23" s="23">
        <f t="shared" si="14"/>
        <v>219.42529365780717</v>
      </c>
      <c r="R23" s="27">
        <f t="shared" si="15"/>
        <v>250.17200423258234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21"/>
        <v>1251402.4921658873</v>
      </c>
      <c r="X23" s="25">
        <f t="shared" si="22"/>
        <v>497.47951470139117</v>
      </c>
    </row>
    <row r="24" spans="1:24" x14ac:dyDescent="0.2">
      <c r="A24" s="10">
        <v>21</v>
      </c>
      <c r="B24" s="15">
        <f t="shared" si="2"/>
        <v>749.82799576741832</v>
      </c>
      <c r="C24" s="27">
        <f t="shared" si="19"/>
        <v>173.59786282977299</v>
      </c>
      <c r="D24" s="19">
        <f t="shared" si="3"/>
        <v>0</v>
      </c>
      <c r="E24" s="20">
        <f t="shared" si="1"/>
        <v>62.21160364233689</v>
      </c>
      <c r="F24" s="27">
        <f t="shared" si="20"/>
        <v>130.51655916690686</v>
      </c>
      <c r="G24" s="19">
        <f t="shared" si="4"/>
        <v>74836.35399926739</v>
      </c>
      <c r="H24" s="20">
        <f t="shared" si="5"/>
        <v>41.159994699597064</v>
      </c>
      <c r="I24" s="27">
        <f t="shared" si="6"/>
        <v>85.856282241220626</v>
      </c>
      <c r="J24" s="19">
        <f t="shared" si="7"/>
        <v>221529.51528485905</v>
      </c>
      <c r="K24" s="20">
        <f t="shared" si="8"/>
        <v>21.845271646145822</v>
      </c>
      <c r="L24" s="27">
        <f t="shared" si="9"/>
        <v>30.067370189445466</v>
      </c>
      <c r="M24" s="19">
        <f t="shared" si="10"/>
        <v>249982.98620851125</v>
      </c>
      <c r="N24" s="20">
        <f t="shared" si="11"/>
        <v>3.8790463377182784</v>
      </c>
      <c r="O24" s="27">
        <f t="shared" si="12"/>
        <v>316.07440275212258</v>
      </c>
      <c r="P24" s="19">
        <f t="shared" si="13"/>
        <v>56635.188777597701</v>
      </c>
      <c r="Q24" s="23">
        <f t="shared" si="14"/>
        <v>107.60685867743561</v>
      </c>
      <c r="R24" s="27">
        <f t="shared" si="15"/>
        <v>263.88752282053207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21"/>
        <v>602984.04427023546</v>
      </c>
      <c r="X24" s="25">
        <f t="shared" si="22"/>
        <v>236.70277500323365</v>
      </c>
    </row>
    <row r="25" spans="1:24" x14ac:dyDescent="0.2">
      <c r="A25" s="10">
        <v>22</v>
      </c>
      <c r="B25" s="15">
        <f t="shared" si="2"/>
        <v>736.11247717946856</v>
      </c>
      <c r="C25" s="27">
        <f t="shared" si="19"/>
        <v>159.71003380339116</v>
      </c>
      <c r="D25" s="19">
        <f t="shared" si="3"/>
        <v>0</v>
      </c>
      <c r="E25" s="20">
        <f t="shared" si="1"/>
        <v>111.13529194359209</v>
      </c>
      <c r="F25" s="27">
        <f t="shared" si="20"/>
        <v>129.41591098725141</v>
      </c>
      <c r="G25" s="19">
        <f t="shared" si="4"/>
        <v>144087.87933682071</v>
      </c>
      <c r="H25" s="20">
        <f t="shared" si="5"/>
        <v>79.248333635251385</v>
      </c>
      <c r="I25" s="27">
        <f t="shared" si="6"/>
        <v>85.34447116509692</v>
      </c>
      <c r="J25" s="19">
        <f t="shared" si="7"/>
        <v>427590.13913139974</v>
      </c>
      <c r="K25" s="20">
        <f t="shared" si="8"/>
        <v>42.165138719901911</v>
      </c>
      <c r="L25" s="27">
        <f t="shared" si="9"/>
        <v>29.648106059203556</v>
      </c>
      <c r="M25" s="19">
        <f t="shared" si="10"/>
        <v>478635.30913325492</v>
      </c>
      <c r="N25" s="20">
        <f t="shared" si="11"/>
        <v>7.4270996244815422</v>
      </c>
      <c r="O25" s="27">
        <f t="shared" si="12"/>
        <v>318.46363857927503</v>
      </c>
      <c r="P25" s="19">
        <f t="shared" si="13"/>
        <v>110802.52318553712</v>
      </c>
      <c r="Q25" s="23">
        <f t="shared" si="14"/>
        <v>210.52479405252055</v>
      </c>
      <c r="R25" s="27">
        <f t="shared" si="15"/>
        <v>277.4178394057825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21"/>
        <v>1161115.8507870126</v>
      </c>
      <c r="X25" s="25">
        <f t="shared" si="22"/>
        <v>450.50065797574746</v>
      </c>
    </row>
    <row r="26" spans="1:24" x14ac:dyDescent="0.2">
      <c r="A26" s="10">
        <v>23</v>
      </c>
      <c r="B26" s="15">
        <f t="shared" si="2"/>
        <v>722.58216059421807</v>
      </c>
      <c r="C26" s="27">
        <f t="shared" si="19"/>
        <v>146.93323109911987</v>
      </c>
      <c r="D26" s="19">
        <f t="shared" si="3"/>
        <v>0</v>
      </c>
      <c r="E26" s="20">
        <f t="shared" si="1"/>
        <v>49.633237178691623</v>
      </c>
      <c r="F26" s="27">
        <f t="shared" si="20"/>
        <v>128.21943124806532</v>
      </c>
      <c r="G26" s="19">
        <f t="shared" si="4"/>
        <v>69298.909655192794</v>
      </c>
      <c r="H26" s="20">
        <f t="shared" si="5"/>
        <v>38.114400310356039</v>
      </c>
      <c r="I26" s="27">
        <f t="shared" si="6"/>
        <v>84.748061705775044</v>
      </c>
      <c r="J26" s="19">
        <f t="shared" si="7"/>
        <v>206117.48909628869</v>
      </c>
      <c r="K26" s="20">
        <f t="shared" si="8"/>
        <v>20.325474619217356</v>
      </c>
      <c r="L26" s="27">
        <f t="shared" si="9"/>
        <v>29.222824042400227</v>
      </c>
      <c r="M26" s="19">
        <f t="shared" si="10"/>
        <v>229014.37356523494</v>
      </c>
      <c r="N26" s="20">
        <f t="shared" si="11"/>
        <v>3.5536713139433007</v>
      </c>
      <c r="O26" s="27">
        <f t="shared" si="12"/>
        <v>320.11696477221597</v>
      </c>
      <c r="P26" s="19">
        <f t="shared" si="13"/>
        <v>54066.874860813696</v>
      </c>
      <c r="Q26" s="23">
        <f t="shared" si="14"/>
        <v>102.727062235546</v>
      </c>
      <c r="R26" s="27">
        <f t="shared" si="15"/>
        <v>290.75948713242411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21"/>
        <v>558497.6471775301</v>
      </c>
      <c r="X26" s="25">
        <f t="shared" si="22"/>
        <v>214.35384565775433</v>
      </c>
    </row>
    <row r="27" spans="1:24" x14ac:dyDescent="0.2">
      <c r="A27" s="10">
        <v>24</v>
      </c>
      <c r="B27" s="15">
        <f t="shared" si="2"/>
        <v>709.2405128675764</v>
      </c>
      <c r="C27" s="27">
        <f t="shared" si="19"/>
        <v>135.17857261119028</v>
      </c>
      <c r="D27" s="19">
        <f t="shared" si="3"/>
        <v>0</v>
      </c>
      <c r="E27" s="20">
        <f t="shared" si="1"/>
        <v>88.665200396886007</v>
      </c>
      <c r="F27" s="27">
        <f t="shared" si="20"/>
        <v>126.9383914287088</v>
      </c>
      <c r="G27" s="19">
        <f t="shared" si="4"/>
        <v>133216.59131829732</v>
      </c>
      <c r="H27" s="20">
        <f t="shared" si="5"/>
        <v>73.269125225063533</v>
      </c>
      <c r="I27" s="27">
        <f t="shared" si="6"/>
        <v>84.076434210984772</v>
      </c>
      <c r="J27" s="19">
        <f t="shared" si="7"/>
        <v>397056.33042732178</v>
      </c>
      <c r="K27" s="20">
        <f t="shared" si="8"/>
        <v>39.154165917138677</v>
      </c>
      <c r="L27" s="27">
        <f t="shared" si="9"/>
        <v>28.792953588057568</v>
      </c>
      <c r="M27" s="19">
        <f t="shared" si="10"/>
        <v>438146.70072093233</v>
      </c>
      <c r="N27" s="20">
        <f t="shared" si="11"/>
        <v>6.7988281146351559</v>
      </c>
      <c r="O27" s="27">
        <f t="shared" si="12"/>
        <v>321.10389020955489</v>
      </c>
      <c r="P27" s="19">
        <f t="shared" si="13"/>
        <v>105307.89097595862</v>
      </c>
      <c r="Q27" s="23">
        <f t="shared" si="14"/>
        <v>200.0849928543214</v>
      </c>
      <c r="R27" s="27">
        <f t="shared" si="15"/>
        <v>303.90975795150422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21"/>
        <v>1073727.51344251</v>
      </c>
      <c r="X27" s="25">
        <f t="shared" si="22"/>
        <v>407.97231250804475</v>
      </c>
    </row>
    <row r="28" spans="1:24" x14ac:dyDescent="0.2">
      <c r="A28" s="10">
        <v>25</v>
      </c>
      <c r="B28" s="15">
        <f t="shared" si="2"/>
        <v>696.09024204849629</v>
      </c>
      <c r="C28" s="27">
        <f t="shared" si="19"/>
        <v>124.36428680229506</v>
      </c>
      <c r="D28" s="19">
        <f t="shared" si="3"/>
        <v>0</v>
      </c>
      <c r="E28" s="20">
        <f t="shared" si="1"/>
        <v>39.598050662686958</v>
      </c>
      <c r="F28" s="27">
        <f t="shared" si="20"/>
        <v>125.58309379072494</v>
      </c>
      <c r="G28" s="19">
        <f t="shared" si="4"/>
        <v>63977.797332863549</v>
      </c>
      <c r="H28" s="20">
        <f t="shared" si="5"/>
        <v>35.187788533074951</v>
      </c>
      <c r="I28" s="27">
        <f t="shared" si="6"/>
        <v>83.338113311566175</v>
      </c>
      <c r="J28" s="19">
        <f t="shared" si="7"/>
        <v>191053.18583694362</v>
      </c>
      <c r="K28" s="20">
        <f t="shared" si="8"/>
        <v>18.839966936698609</v>
      </c>
      <c r="L28" s="27">
        <f t="shared" si="9"/>
        <v>28.359727651788404</v>
      </c>
      <c r="M28" s="19">
        <f t="shared" si="10"/>
        <v>209492.34784421488</v>
      </c>
      <c r="N28" s="20">
        <f t="shared" si="11"/>
        <v>3.2507433286171272</v>
      </c>
      <c r="O28" s="27">
        <f t="shared" si="12"/>
        <v>321.48819137749581</v>
      </c>
      <c r="P28" s="19">
        <f t="shared" si="13"/>
        <v>51181.51688458342</v>
      </c>
      <c r="Q28" s="23">
        <f t="shared" si="14"/>
        <v>97.244882080708493</v>
      </c>
      <c r="R28" s="27">
        <f t="shared" si="15"/>
        <v>316.86658706613014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21"/>
        <v>515704.84789860545</v>
      </c>
      <c r="X28" s="25">
        <f t="shared" si="22"/>
        <v>194.12143154178614</v>
      </c>
    </row>
    <row r="29" spans="1:24" x14ac:dyDescent="0.2">
      <c r="A29" s="10">
        <v>26</v>
      </c>
      <c r="B29" s="15">
        <f t="shared" si="2"/>
        <v>683.13341293387043</v>
      </c>
      <c r="C29" s="27">
        <f t="shared" si="19"/>
        <v>114.41514385811145</v>
      </c>
      <c r="D29" s="19">
        <f t="shared" si="3"/>
        <v>0</v>
      </c>
      <c r="E29" s="20">
        <f t="shared" si="1"/>
        <v>70.738265261499009</v>
      </c>
      <c r="F29" s="27">
        <f t="shared" si="20"/>
        <v>124.16295010741386</v>
      </c>
      <c r="G29" s="19">
        <f t="shared" si="4"/>
        <v>122823.90465710484</v>
      </c>
      <c r="H29" s="20">
        <f t="shared" si="5"/>
        <v>67.55314756140767</v>
      </c>
      <c r="I29" s="27">
        <f t="shared" si="6"/>
        <v>82.540859053522325</v>
      </c>
      <c r="J29" s="19">
        <f t="shared" si="7"/>
        <v>367428.1069570852</v>
      </c>
      <c r="K29" s="20">
        <f t="shared" si="8"/>
        <v>36.232493880490345</v>
      </c>
      <c r="L29" s="27">
        <f t="shared" si="9"/>
        <v>27.924223690652077</v>
      </c>
      <c r="M29" s="19">
        <f t="shared" si="10"/>
        <v>400534.55306868651</v>
      </c>
      <c r="N29" s="20">
        <f t="shared" si="11"/>
        <v>6.2151913407209971</v>
      </c>
      <c r="O29" s="27">
        <f t="shared" si="12"/>
        <v>321.32835878086593</v>
      </c>
      <c r="P29" s="19">
        <f t="shared" si="13"/>
        <v>99332.177162103719</v>
      </c>
      <c r="Q29" s="23">
        <f t="shared" si="14"/>
        <v>188.73113660799706</v>
      </c>
      <c r="R29" s="27">
        <f t="shared" si="15"/>
        <v>329.62846450943493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21"/>
        <v>990118.74184498028</v>
      </c>
      <c r="X29" s="25">
        <f t="shared" si="22"/>
        <v>369.4702346521151</v>
      </c>
    </row>
    <row r="30" spans="1:24" x14ac:dyDescent="0.2">
      <c r="A30" s="10">
        <v>27</v>
      </c>
      <c r="B30" s="15">
        <f t="shared" si="2"/>
        <v>670.37153549056563</v>
      </c>
      <c r="C30" s="27">
        <f t="shared" si="19"/>
        <v>105.26193234946254</v>
      </c>
      <c r="D30" s="19">
        <f t="shared" si="3"/>
        <v>0</v>
      </c>
      <c r="E30" s="20">
        <f t="shared" si="1"/>
        <v>31.591846621640347</v>
      </c>
      <c r="F30" s="27">
        <f t="shared" si="20"/>
        <v>122.6865535934873</v>
      </c>
      <c r="G30" s="19">
        <f t="shared" si="4"/>
        <v>58914.286631872172</v>
      </c>
      <c r="H30" s="20">
        <f t="shared" si="5"/>
        <v>32.402857647529693</v>
      </c>
      <c r="I30" s="27">
        <f t="shared" si="6"/>
        <v>81.691742443592915</v>
      </c>
      <c r="J30" s="19">
        <f t="shared" si="7"/>
        <v>176528.2962937087</v>
      </c>
      <c r="K30" s="20">
        <f t="shared" si="8"/>
        <v>17.407651440074051</v>
      </c>
      <c r="L30" s="27">
        <f t="shared" si="9"/>
        <v>27.487392141935501</v>
      </c>
      <c r="M30" s="19">
        <f t="shared" si="10"/>
        <v>191392.62416064832</v>
      </c>
      <c r="N30" s="20">
        <f t="shared" si="11"/>
        <v>2.9698855473204051</v>
      </c>
      <c r="O30" s="27">
        <f t="shared" si="12"/>
        <v>320.67801430129396</v>
      </c>
      <c r="P30" s="19">
        <f t="shared" si="13"/>
        <v>48121.910821022437</v>
      </c>
      <c r="Q30" s="23">
        <f t="shared" si="14"/>
        <v>91.431630559942633</v>
      </c>
      <c r="R30" s="27">
        <f t="shared" si="15"/>
        <v>342.19436517022837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21"/>
        <v>474957.1179072517</v>
      </c>
      <c r="X30" s="25">
        <f t="shared" si="22"/>
        <v>175.80387181650713</v>
      </c>
    </row>
    <row r="31" spans="1:24" x14ac:dyDescent="0.2">
      <c r="A31" s="10">
        <v>28</v>
      </c>
      <c r="B31" s="15">
        <f t="shared" si="2"/>
        <v>657.8056348297722</v>
      </c>
      <c r="C31" s="27">
        <f t="shared" si="19"/>
        <v>96.840977761505542</v>
      </c>
      <c r="D31" s="19">
        <f t="shared" si="3"/>
        <v>0</v>
      </c>
      <c r="E31" s="20">
        <f t="shared" si="1"/>
        <v>56.435920178464308</v>
      </c>
      <c r="F31" s="27">
        <f t="shared" si="20"/>
        <v>121.16174500554891</v>
      </c>
      <c r="G31" s="19">
        <f t="shared" si="4"/>
        <v>112974.89517970846</v>
      </c>
      <c r="H31" s="20">
        <f t="shared" si="5"/>
        <v>62.13619234883965</v>
      </c>
      <c r="I31" s="27">
        <f t="shared" si="6"/>
        <v>80.797209794655217</v>
      </c>
      <c r="J31" s="19">
        <f t="shared" si="7"/>
        <v>339019.98837386502</v>
      </c>
      <c r="K31" s="20">
        <f t="shared" si="8"/>
        <v>33.431137742422806</v>
      </c>
      <c r="L31" s="27">
        <f t="shared" si="9"/>
        <v>27.050076761001314</v>
      </c>
      <c r="M31" s="19">
        <f t="shared" si="10"/>
        <v>365723.5541200724</v>
      </c>
      <c r="N31" s="20">
        <f t="shared" si="11"/>
        <v>5.6750206673804326</v>
      </c>
      <c r="O31" s="27">
        <f t="shared" si="12"/>
        <v>319.58629904319025</v>
      </c>
      <c r="P31" s="19">
        <f t="shared" si="13"/>
        <v>93122.494629033521</v>
      </c>
      <c r="Q31" s="23">
        <f t="shared" si="14"/>
        <v>176.93273979516368</v>
      </c>
      <c r="R31" s="27">
        <f t="shared" si="15"/>
        <v>354.56369163409931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21"/>
        <v>910840.9323026794</v>
      </c>
      <c r="X31" s="25">
        <f t="shared" si="22"/>
        <v>334.61101073227087</v>
      </c>
    </row>
    <row r="32" spans="1:24" x14ac:dyDescent="0.2">
      <c r="A32" s="10">
        <v>29</v>
      </c>
      <c r="B32" s="15">
        <f t="shared" si="2"/>
        <v>645.43630836590125</v>
      </c>
      <c r="C32" s="27">
        <f t="shared" si="19"/>
        <v>89.093699540585106</v>
      </c>
      <c r="D32" s="19">
        <f t="shared" si="3"/>
        <v>0</v>
      </c>
      <c r="E32" s="20">
        <f t="shared" si="1"/>
        <v>25.20439153601319</v>
      </c>
      <c r="F32" s="27">
        <f t="shared" si="20"/>
        <v>119.59567353573387</v>
      </c>
      <c r="G32" s="19">
        <f t="shared" si="4"/>
        <v>54133.321612664076</v>
      </c>
      <c r="H32" s="20">
        <f t="shared" si="5"/>
        <v>29.773326886965247</v>
      </c>
      <c r="I32" s="27">
        <f t="shared" si="6"/>
        <v>79.86313872278771</v>
      </c>
      <c r="J32" s="19">
        <f t="shared" si="7"/>
        <v>162670.2355151317</v>
      </c>
      <c r="K32" s="20">
        <f t="shared" si="8"/>
        <v>16.041092668853263</v>
      </c>
      <c r="L32" s="27">
        <f t="shared" si="9"/>
        <v>26.613029627313995</v>
      </c>
      <c r="M32" s="19">
        <f t="shared" si="10"/>
        <v>174667.2677615573</v>
      </c>
      <c r="N32" s="20">
        <f t="shared" si="11"/>
        <v>2.7103541549207169</v>
      </c>
      <c r="O32" s="27">
        <f t="shared" si="12"/>
        <v>318.09823239702996</v>
      </c>
      <c r="P32" s="19">
        <f t="shared" si="13"/>
        <v>44994.609257393313</v>
      </c>
      <c r="Q32" s="23">
        <f t="shared" si="14"/>
        <v>85.489757589047287</v>
      </c>
      <c r="R32" s="27">
        <f t="shared" si="15"/>
        <v>366.73622617654991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21"/>
        <v>436465.43414674641</v>
      </c>
      <c r="X32" s="25">
        <f t="shared" si="22"/>
        <v>159.21892283579973</v>
      </c>
    </row>
    <row r="33" spans="1:24" ht="16" thickBot="1" x14ac:dyDescent="0.25">
      <c r="A33" s="11">
        <v>30</v>
      </c>
      <c r="B33" s="16">
        <f t="shared" si="2"/>
        <v>633.26377382345072</v>
      </c>
      <c r="C33" s="28">
        <f t="shared" si="19"/>
        <v>81.966203577338305</v>
      </c>
      <c r="D33" s="21">
        <f t="shared" si="3"/>
        <v>0</v>
      </c>
      <c r="E33" s="22">
        <f t="shared" si="1"/>
        <v>11.256330200549581</v>
      </c>
      <c r="F33" s="28">
        <f t="shared" si="20"/>
        <v>117.99485295109865</v>
      </c>
      <c r="G33" s="21">
        <f t="shared" si="4"/>
        <v>25926.56912366884</v>
      </c>
      <c r="H33" s="22">
        <f t="shared" si="5"/>
        <v>14.259613018017863</v>
      </c>
      <c r="I33" s="28">
        <f t="shared" si="6"/>
        <v>78.894887679274916</v>
      </c>
      <c r="J33" s="21">
        <f t="shared" si="7"/>
        <v>78008.757881654208</v>
      </c>
      <c r="K33" s="22">
        <f t="shared" si="8"/>
        <v>7.692530291107567</v>
      </c>
      <c r="L33" s="28">
        <f t="shared" si="9"/>
        <v>26.176922617481004</v>
      </c>
      <c r="M33" s="21">
        <f t="shared" si="10"/>
        <v>83400.485379990641</v>
      </c>
      <c r="N33" s="22">
        <f t="shared" si="11"/>
        <v>1.2941454627929581</v>
      </c>
      <c r="O33" s="28">
        <f t="shared" si="12"/>
        <v>316.25504366596647</v>
      </c>
      <c r="P33" s="21">
        <f t="shared" si="13"/>
        <v>21715.481770083861</v>
      </c>
      <c r="Q33" s="24">
        <f t="shared" si="14"/>
        <v>41.259415363159334</v>
      </c>
      <c r="R33" s="28">
        <f t="shared" si="15"/>
        <v>378.71208950884119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21"/>
        <v>209051.29415539754</v>
      </c>
      <c r="X33" s="25">
        <f t="shared" si="22"/>
        <v>75.762034335627305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28610742.461703055</v>
      </c>
      <c r="X34" s="31">
        <f>SUM(X3:X33)</f>
        <v>15290.818231828654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9E20-C0FA-194C-8EFA-98BEDE732E0E}">
  <dimension ref="A1:Y113"/>
  <sheetViews>
    <sheetView topLeftCell="B1" workbookViewId="0">
      <selection activeCell="H14" sqref="H14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/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SUM(pHealthyStage1*C3,(1-SUM(pStage1Remission,pStage1Stage2))*F3,pStage2Stage1*I3,pRemissionStage1_trtA*O3)*(1-'Life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pStage2Stage3))*I3,pStage3Stage2*L3,pRemissionStage2_trtA*O3)*(1-'Life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SUM(pStage1Remission*F3,pStage2Remission*I3,(1-SUM(pRemissionStage1_trtA, pRemissionStage2_trtA))*O3)*(1-'Life Table - Female'!B58)</f>
        <v>0</v>
      </c>
      <c r="P4" s="19">
        <f t="shared" ref="P4:P33" si="9">O4*SUM(nVisitsRemission*cVisit, cTrtA)*W4/(1+discount_rate)^A4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81">
        <f>SUM(B3*'Life Table - Female'!B58,U3)</f>
        <v>5.3003649227321148</v>
      </c>
      <c r="V4" s="49">
        <f>SUM(C4,F4,I4,L4,O4,R4-R3,U4-U3)-B3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SUM(pHealthyStage1*C4,(1-SUM(pStage1Remission,pStage1Stage2))*F4,pStage2Stage1*I4,pRemissionStage1_trtA*O4)*(1-'Life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pStage2Stage3))*I4,pStage3Stage2*L4,pRemissionStage2_trtA*O4)*(1-'Life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SUM(pStage1Remission*F4,pStage2Remission*I4,(1-SUM(pRemissionStage1_trtA, pRemissionStage2_trtA))*O4)*(1-'Life Table - Female'!B59)</f>
        <v>16.318582110117191</v>
      </c>
      <c r="P5" s="19">
        <f t="shared" si="9"/>
        <v>207141.96036344441</v>
      </c>
      <c r="Q5" s="20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81">
        <f>SUM(B4*'Life Table - Female'!B59,U4)</f>
        <v>10.995023629261109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1182530.1339992206</v>
      </c>
      <c r="Y5" s="25">
        <f t="shared" si="15"/>
        <v>1197.8759164333464</v>
      </c>
    </row>
    <row r="6" spans="1:25" x14ac:dyDescent="0.2">
      <c r="A6" s="10">
        <v>3</v>
      </c>
      <c r="B6" s="15">
        <f t="shared" si="13"/>
        <v>970.85085441317722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SUM(pHealthyStage1*C5,(1-SUM(pStage1Remission,pStage1Stage2))*F5,pStage2Stage1*I5,pRemissionStage1_trtA*O5)*(1-'Life Table - Female'!B60)</f>
        <v>94.474552650638415</v>
      </c>
      <c r="G6" s="19">
        <f t="shared" si="3"/>
        <v>92221.43880464285</v>
      </c>
      <c r="H6" s="20">
        <f t="shared" si="4"/>
        <v>50.721791342553573</v>
      </c>
      <c r="I6" s="27">
        <f>SUM(pHealthyStage2*C5,pStage1Stage2*F5,(1-SUM(pStage2Remission, pStage2Stage1, pStage2Stage3))*I5,pStage3Stage2*L5,pRemissionStage2_trtA*O5)*(1-'Life Table - Female'!B60)</f>
        <v>46.6308385497736</v>
      </c>
      <c r="J6" s="19">
        <f t="shared" si="5"/>
        <v>204834.35024385163</v>
      </c>
      <c r="K6" s="20">
        <f t="shared" si="6"/>
        <v>20.198942871268702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SUM(pStage1Remission*F5,pStage2Remission*I5,(1-SUM(pRemissionStage1_trtA, pRemissionStage2_trtA))*O5)*(1-'Life Table - Female'!B60)</f>
        <v>42.322869716359655</v>
      </c>
      <c r="P6" s="19">
        <f t="shared" si="9"/>
        <v>260791.56955350086</v>
      </c>
      <c r="Q6" s="20">
        <f t="shared" si="10"/>
        <v>24.529900106517406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81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870155.37624680076</v>
      </c>
      <c r="Y6" s="25">
        <f t="shared" si="15"/>
        <v>567.23738661311756</v>
      </c>
    </row>
    <row r="7" spans="1:25" x14ac:dyDescent="0.2">
      <c r="A7" s="10">
        <v>4</v>
      </c>
      <c r="B7" s="15">
        <f t="shared" si="13"/>
        <v>954.46709289890123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SUM(pHealthyStage1*C6,(1-SUM(pStage1Remission,pStage1Stage2))*F6,pStage2Stage1*I6,pRemissionStage1_trtA*O6)*(1-'Life Table - Female'!B61)</f>
        <v>102.16346605346502</v>
      </c>
      <c r="G7" s="19">
        <f t="shared" si="3"/>
        <v>193644.62156517938</v>
      </c>
      <c r="H7" s="20">
        <f t="shared" si="4"/>
        <v>106.50454186084865</v>
      </c>
      <c r="I7" s="27">
        <f>SUM(pHealthyStage2*C6,pStage1Stage2*F6,(1-SUM(pStage2Remission, pStage2Stage1, pStage2Stage3))*I6,pStage3Stage2*L6,pRemissionStage2_trtA*O6)*(1-'Life Table - Female'!B61)</f>
        <v>53.895110883430768</v>
      </c>
      <c r="J7" s="19">
        <f t="shared" si="5"/>
        <v>459697.03647271794</v>
      </c>
      <c r="K7" s="20">
        <f t="shared" si="6"/>
        <v>45.331235541059691</v>
      </c>
      <c r="L7" s="27">
        <f>SUM(pHealthyStage3*C6,pStage2Stage3*I6,(1-SUM(pStage3Death, pStage3Stage2))*L6)*(1-'Life Table - Female'!B61)</f>
        <v>25.50805621112854</v>
      </c>
      <c r="M7" s="19">
        <f t="shared" si="7"/>
        <v>701059.99922314496</v>
      </c>
      <c r="N7" s="20">
        <f t="shared" si="8"/>
        <v>10.878517229324663</v>
      </c>
      <c r="O7" s="27">
        <f>SUM(pStage1Remission*F6,pStage2Remission*I6,(1-SUM(pRemissionStage1_trtA, pRemissionStage2_trtA))*O6)*(1-'Life Table - Female'!B61)</f>
        <v>73.500934687495757</v>
      </c>
      <c r="P7" s="19">
        <f t="shared" si="9"/>
        <v>879435.66352443118</v>
      </c>
      <c r="Q7" s="20">
        <f t="shared" si="10"/>
        <v>82.719196074080159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81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2233837.3207854736</v>
      </c>
      <c r="Y7" s="25">
        <f t="shared" si="15"/>
        <v>1073.9767164882444</v>
      </c>
    </row>
    <row r="8" spans="1:25" x14ac:dyDescent="0.2">
      <c r="A8" s="10">
        <v>5</v>
      </c>
      <c r="B8" s="15">
        <f t="shared" si="13"/>
        <v>936.10866117093474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SUM(pHealthyStage1*C7,(1-SUM(pStage1Remission,pStage1Stage2))*F7,pStage2Stage1*I7,pRemissionStage1_trtA*O7)*(1-'Life Table - Female'!B62)</f>
        <v>104.77100283807842</v>
      </c>
      <c r="G8" s="19">
        <f t="shared" si="3"/>
        <v>96401.479889988943</v>
      </c>
      <c r="H8" s="20">
        <f t="shared" si="4"/>
        <v>53.020813939493912</v>
      </c>
      <c r="I8" s="27">
        <f>SUM(pHealthyStage2*C7,pStage1Stage2*F7,(1-SUM(pStage2Remission, pStage2Stage1, pStage2Stage3))*I7,pStage3Stage2*L7,pRemissionStage2_trtA*O7)*(1-'Life Table - Female'!B62)</f>
        <v>58.124636488311133</v>
      </c>
      <c r="J8" s="19">
        <f t="shared" si="5"/>
        <v>240666.34571497675</v>
      </c>
      <c r="K8" s="20">
        <f t="shared" si="6"/>
        <v>23.73237575800465</v>
      </c>
      <c r="L8" s="27">
        <f>SUM(pHealthyStage3*C7,pStage2Stage3*I7,(1-SUM(pStage3Death, pStage3Stage2))*L7)*(1-'Life Table - Female'!B62)</f>
        <v>27.629232608599803</v>
      </c>
      <c r="M8" s="19">
        <f t="shared" si="7"/>
        <v>368620.45006142714</v>
      </c>
      <c r="N8" s="20">
        <f t="shared" si="8"/>
        <v>5.7199725009531797</v>
      </c>
      <c r="O8" s="27">
        <f>SUM(pStage1Remission*F7,pStage2Remission*I7,(1-SUM(pRemissionStage1_trtA, pRemissionStage2_trtA))*O7)*(1-'Life Table - Female'!B62)</f>
        <v>106.83065758976906</v>
      </c>
      <c r="P8" s="19">
        <f t="shared" si="9"/>
        <v>620497.29543504177</v>
      </c>
      <c r="Q8" s="20">
        <f t="shared" si="10"/>
        <v>58.363606996365313</v>
      </c>
      <c r="R8" s="27">
        <f>SUM(pStage3Death*L7*(1-'Life Table - Female'!B62),R7)</f>
        <v>33.315324958191916</v>
      </c>
      <c r="S8" s="19">
        <f t="shared" si="11"/>
        <v>0</v>
      </c>
      <c r="T8" s="23">
        <f t="shared" si="12"/>
        <v>0</v>
      </c>
      <c r="U8" s="181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1326185.5711014345</v>
      </c>
      <c r="Y8" s="25">
        <f t="shared" si="15"/>
        <v>508.16614413540782</v>
      </c>
    </row>
    <row r="9" spans="1:25" x14ac:dyDescent="0.2">
      <c r="A9" s="10">
        <v>6</v>
      </c>
      <c r="B9" s="15">
        <f t="shared" si="13"/>
        <v>916.35286616917244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SUM(pHealthyStage1*C8,(1-SUM(pStage1Remission,pStage1Stage2))*F8,pStage2Stage1*I8,pRemissionStage1_trtA*O8)*(1-'Life Table - Female'!B63)</f>
        <v>104.24859553011076</v>
      </c>
      <c r="G9" s="19">
        <f t="shared" si="3"/>
        <v>186253.98941407943</v>
      </c>
      <c r="H9" s="20">
        <f t="shared" si="4"/>
        <v>102.4396941777437</v>
      </c>
      <c r="I9" s="27">
        <f>SUM(pHealthyStage2*C8,pStage1Stage2*F8,(1-SUM(pStage2Remission, pStage2Stage1, pStage2Stage3))*I8,pStage3Stage2*L8,pRemissionStage2_trtA*O8)*(1-'Life Table - Female'!B63)</f>
        <v>60.096477826801951</v>
      </c>
      <c r="J9" s="19">
        <f t="shared" si="5"/>
        <v>483166.59899601556</v>
      </c>
      <c r="K9" s="20">
        <f t="shared" si="6"/>
        <v>47.645595178773746</v>
      </c>
      <c r="L9" s="27">
        <f>SUM(pHealthyStage3*C8,pStage2Stage3*I8,(1-SUM(pStage3Death, pStage3Stage2))*L8)*(1-'Life Table - Female'!B63)</f>
        <v>28.69156676215022</v>
      </c>
      <c r="M9" s="19">
        <f t="shared" si="7"/>
        <v>743288.88365202746</v>
      </c>
      <c r="N9" s="20">
        <f t="shared" si="8"/>
        <v>11.533793022186634</v>
      </c>
      <c r="O9" s="27">
        <f>SUM(pStage1Remission*F8,pStage2Remission*I8,(1-SUM(pRemissionStage1_trtA, pRemissionStage2_trtA))*O8)*(1-'Life Table - Female'!B63)</f>
        <v>140.32209214260948</v>
      </c>
      <c r="P9" s="19">
        <f t="shared" si="9"/>
        <v>1582569.5795292272</v>
      </c>
      <c r="Q9" s="20">
        <f t="shared" si="10"/>
        <v>148.85555451017484</v>
      </c>
      <c r="R9" s="27">
        <f>SUM(pStage3Death*L8*(1-'Life Table - Female'!B63),R8)</f>
        <v>45.649913069261999</v>
      </c>
      <c r="S9" s="19">
        <f t="shared" si="11"/>
        <v>0</v>
      </c>
      <c r="T9" s="23">
        <f t="shared" si="12"/>
        <v>0</v>
      </c>
      <c r="U9" s="181">
        <f>SUM(B8*'Life Table - Female'!B63,U8)</f>
        <v>37.99722076156575</v>
      </c>
      <c r="V9" s="49">
        <f t="shared" si="14"/>
        <v>0</v>
      </c>
      <c r="W9" s="54">
        <v>1.3333333333333333</v>
      </c>
      <c r="X9" s="13">
        <f t="shared" si="15"/>
        <v>2995279.0515913498</v>
      </c>
      <c r="Y9" s="25">
        <f t="shared" si="15"/>
        <v>961.47251540415027</v>
      </c>
    </row>
    <row r="10" spans="1:25" x14ac:dyDescent="0.2">
      <c r="A10" s="10">
        <v>7</v>
      </c>
      <c r="B10" s="15">
        <f t="shared" si="13"/>
        <v>895.69215005554315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SUM(pHealthyStage1*C9,(1-SUM(pStage1Remission,pStage1Stage2))*F9,pStage2Stage1*I9,pRemissionStage1_trtA*O9)*(1-'Life Table - Female'!B64)</f>
        <v>101.84142945620916</v>
      </c>
      <c r="G10" s="19">
        <f t="shared" si="3"/>
        <v>88326.828580177753</v>
      </c>
      <c r="H10" s="20">
        <f t="shared" si="4"/>
        <v>48.579755719097761</v>
      </c>
      <c r="I10" s="27">
        <f>SUM(pHealthyStage2*C9,pStage1Stage2*F9,(1-SUM(pStage2Remission, pStage2Stage1, pStage2Stage3))*I9,pStage3Stage2*L9,pRemissionStage2_trtA*O9)*(1-'Life Table - Female'!B64)</f>
        <v>60.457352349495977</v>
      </c>
      <c r="J10" s="19">
        <f t="shared" si="5"/>
        <v>235955.32796961282</v>
      </c>
      <c r="K10" s="20">
        <f t="shared" si="6"/>
        <v>23.267817063670154</v>
      </c>
      <c r="L10" s="27">
        <f>SUM(pHealthyStage3*C9,pStage2Stage3*I9,(1-SUM(pStage3Death, pStage3Stage2))*L9)*(1-'Life Table - Female'!B64)</f>
        <v>28.939809723016197</v>
      </c>
      <c r="M10" s="19">
        <f t="shared" si="7"/>
        <v>363941.70407712716</v>
      </c>
      <c r="N10" s="20">
        <f t="shared" si="8"/>
        <v>5.6473712701623171</v>
      </c>
      <c r="O10" s="27">
        <f>SUM(pStage1Remission*F9,pStage2Remission*I9,(1-SUM(pRemissionStage1_trtA, pRemissionStage2_trtA))*O9)*(1-'Life Table - Female'!B64)</f>
        <v>172.699679555861</v>
      </c>
      <c r="P10" s="19">
        <f t="shared" si="9"/>
        <v>945498.99928782519</v>
      </c>
      <c r="Q10" s="20">
        <f t="shared" si="10"/>
        <v>88.933074190439001</v>
      </c>
      <c r="R10" s="27">
        <f>SUM(pStage3Death*L9*(1-'Life Table - Female'!B64),R9)</f>
        <v>58.450368817923938</v>
      </c>
      <c r="S10" s="19">
        <f t="shared" si="11"/>
        <v>0</v>
      </c>
      <c r="T10" s="23">
        <f t="shared" si="12"/>
        <v>0</v>
      </c>
      <c r="U10" s="181">
        <f>SUM(B9*'Life Table - Female'!B64,U9)</f>
        <v>45.857481126533266</v>
      </c>
      <c r="V10" s="49">
        <f t="shared" si="14"/>
        <v>0</v>
      </c>
      <c r="W10" s="54">
        <v>0.66666666666666663</v>
      </c>
      <c r="X10" s="13">
        <f t="shared" si="15"/>
        <v>1633722.8599147429</v>
      </c>
      <c r="Y10" s="25">
        <f t="shared" si="15"/>
        <v>454.67106165349549</v>
      </c>
    </row>
    <row r="11" spans="1:25" x14ac:dyDescent="0.2">
      <c r="A11" s="10">
        <v>8</v>
      </c>
      <c r="B11" s="15">
        <f t="shared" si="13"/>
        <v>874.53341882157383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SUM(pHealthyStage1*C10,(1-SUM(pStage1Remission,pStage1Stage2))*F10,pStage2Stage1*I10,pRemissionStage1_trtA*O10)*(1-'Life Table - Female'!B65)</f>
        <v>98.346562581286562</v>
      </c>
      <c r="G11" s="19">
        <f t="shared" si="3"/>
        <v>165622.79395136211</v>
      </c>
      <c r="H11" s="20">
        <f t="shared" si="4"/>
        <v>91.092536673249171</v>
      </c>
      <c r="I11" s="27">
        <f>SUM(pHealthyStage2*C10,pStage1Stage2*F10,(1-SUM(pStage2Remission, pStage2Stage1, pStage2Stage3))*I10,pStage3Stage2*L10,pRemissionStage2_trtA*O10)*(1-'Life Table - Female'!B65)</f>
        <v>59.712115192256547</v>
      </c>
      <c r="J11" s="19">
        <f t="shared" si="5"/>
        <v>452518.03327857383</v>
      </c>
      <c r="K11" s="20">
        <f t="shared" si="6"/>
        <v>44.623306059414915</v>
      </c>
      <c r="L11" s="27">
        <f>SUM(pHealthyStage3*C10,pStage2Stage3*I10,(1-SUM(pStage3Death, pStage3Stage2))*L10)*(1-'Life Table - Female'!B65)</f>
        <v>28.590072002518465</v>
      </c>
      <c r="M11" s="19">
        <f t="shared" si="7"/>
        <v>698142.65451324091</v>
      </c>
      <c r="N11" s="20">
        <f t="shared" si="8"/>
        <v>10.833248087274429</v>
      </c>
      <c r="O11" s="27">
        <f>SUM(pStage1Remission*F10,pStage2Remission*I10,(1-SUM(pRemissionStage1_trtA, pRemissionStage2_trtA))*O10)*(1-'Life Table - Female'!B65)</f>
        <v>203.18032291684031</v>
      </c>
      <c r="P11" s="19">
        <f t="shared" si="9"/>
        <v>2159951.2983047403</v>
      </c>
      <c r="Q11" s="20">
        <f t="shared" si="10"/>
        <v>203.16373597915876</v>
      </c>
      <c r="R11" s="27">
        <f>SUM(pStage3Death*L10*(1-'Life Table - Female'!B65),R10)</f>
        <v>71.353247236390033</v>
      </c>
      <c r="S11" s="19">
        <f t="shared" si="11"/>
        <v>0</v>
      </c>
      <c r="T11" s="23">
        <f t="shared" si="12"/>
        <v>0</v>
      </c>
      <c r="U11" s="181">
        <f>SUM(B10*'Life Table - Female'!B65,U10)</f>
        <v>54.113333942036434</v>
      </c>
      <c r="V11" s="49">
        <f t="shared" si="14"/>
        <v>0</v>
      </c>
      <c r="W11" s="54">
        <v>1.3333333333333333</v>
      </c>
      <c r="X11" s="13">
        <f t="shared" si="15"/>
        <v>3476234.7800479173</v>
      </c>
      <c r="Y11" s="25">
        <f t="shared" si="15"/>
        <v>859.8862757938598</v>
      </c>
    </row>
    <row r="12" spans="1:25" x14ac:dyDescent="0.2">
      <c r="A12" s="10">
        <v>9</v>
      </c>
      <c r="B12" s="15">
        <f t="shared" si="13"/>
        <v>853.19399894122603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SUM(pHealthyStage1*C11,(1-SUM(pStage1Remission,pStage1Stage2))*F11,pStage2Stage1*I11,pRemissionStage1_trtA*O11)*(1-'Life Table - Female'!B66)</f>
        <v>94.273375934913929</v>
      </c>
      <c r="G12" s="19">
        <f t="shared" si="3"/>
        <v>77069.538913108321</v>
      </c>
      <c r="H12" s="20">
        <f t="shared" si="4"/>
        <v>42.388246402209582</v>
      </c>
      <c r="I12" s="27">
        <f>SUM(pHealthyStage2*C11,pStage1Stage2*F11,(1-SUM(pStage2Remission, pStage2Stage1, pStage2Stage3))*I11,pStage3Stage2*L11,pRemissionStage2_trtA*O11)*(1-'Life Table - Female'!B66)</f>
        <v>58.238892852360436</v>
      </c>
      <c r="J12" s="19">
        <f t="shared" si="5"/>
        <v>214249.25738504011</v>
      </c>
      <c r="K12" s="20">
        <f t="shared" si="6"/>
        <v>21.127357325469234</v>
      </c>
      <c r="L12" s="27">
        <f>SUM(pHealthyStage3*C11,pStage2Stage3*I11,(1-SUM(pStage3Death, pStage3Stage2))*L11)*(1-'Life Table - Female'!B66)</f>
        <v>27.822564185617843</v>
      </c>
      <c r="M12" s="19">
        <f t="shared" si="7"/>
        <v>329806.2310017597</v>
      </c>
      <c r="N12" s="20">
        <f t="shared" si="8"/>
        <v>5.1176828948548918</v>
      </c>
      <c r="O12" s="27">
        <f>SUM(pStage1Remission*F11,pStage2Remission*I11,(1-SUM(pRemissionStage1_trtA, pRemissionStage2_trtA))*O11)*(1-'Life Table - Female'!B66)</f>
        <v>231.31655050888486</v>
      </c>
      <c r="P12" s="19">
        <f t="shared" si="9"/>
        <v>1193718.1568386618</v>
      </c>
      <c r="Q12" s="20">
        <f t="shared" si="10"/>
        <v>112.28042069274539</v>
      </c>
      <c r="R12" s="27">
        <f>SUM(pStage3Death*L11*(1-'Life Table - Female'!B66),R11)</f>
        <v>84.092256326575438</v>
      </c>
      <c r="S12" s="19">
        <f t="shared" si="11"/>
        <v>0</v>
      </c>
      <c r="T12" s="23">
        <f t="shared" si="12"/>
        <v>0</v>
      </c>
      <c r="U12" s="181">
        <f>SUM(B11*'Life Table - Female'!B66,U11)</f>
        <v>62.713744732198862</v>
      </c>
      <c r="V12" s="49">
        <f t="shared" si="14"/>
        <v>0</v>
      </c>
      <c r="W12" s="54">
        <v>0.66666666666666663</v>
      </c>
      <c r="X12" s="13">
        <f t="shared" si="15"/>
        <v>1814843.18413857</v>
      </c>
      <c r="Y12" s="25">
        <f t="shared" si="15"/>
        <v>406.51747300253879</v>
      </c>
    </row>
    <row r="13" spans="1:25" x14ac:dyDescent="0.2">
      <c r="A13" s="10">
        <v>10</v>
      </c>
      <c r="B13" s="15">
        <f t="shared" si="13"/>
        <v>831.87853910032231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SUM(pHealthyStage1*C12,(1-SUM(pStage1Remission,pStage1Stage2))*F12,pStage2Stage1*I12,pRemissionStage1_trtA*O12)*(1-'Life Table - Female'!B67)</f>
        <v>89.942158113477916</v>
      </c>
      <c r="G13" s="19">
        <f t="shared" si="3"/>
        <v>142774.21342915847</v>
      </c>
      <c r="H13" s="20">
        <f t="shared" si="4"/>
        <v>78.525817386037161</v>
      </c>
      <c r="I13" s="27">
        <f>SUM(pHealthyStage2*C12,pStage1Stage2*F12,(1-SUM(pStage2Remission, pStage2Stage1, pStage2Stage3))*I12,pStage3Stage2*L12,pRemissionStage2_trtA*O12)*(1-'Life Table - Female'!B67)</f>
        <v>56.310458720197822</v>
      </c>
      <c r="J13" s="19">
        <f t="shared" si="5"/>
        <v>402242.58891592739</v>
      </c>
      <c r="K13" s="20">
        <f t="shared" si="6"/>
        <v>39.665588629209502</v>
      </c>
      <c r="L13" s="27">
        <f>SUM(pHealthyStage3*C12,pStage2Stage3*I12,(1-SUM(pStage3Death, pStage3Stage2))*L12)*(1-'Life Table - Female'!B67)</f>
        <v>26.779408187189322</v>
      </c>
      <c r="M13" s="19">
        <f t="shared" si="7"/>
        <v>616389.80866354168</v>
      </c>
      <c r="N13" s="20">
        <f t="shared" si="8"/>
        <v>9.5646694447790956</v>
      </c>
      <c r="O13" s="27">
        <f>SUM(pStage1Remission*F12,pStage2Remission*I12,(1-SUM(pRemissionStage1_trtA, pRemissionStage2_trtA))*O12)*(1-'Life Table - Female'!B67)</f>
        <v>256.8772583286331</v>
      </c>
      <c r="P13" s="19">
        <f t="shared" si="9"/>
        <v>2574029.5046088919</v>
      </c>
      <c r="Q13" s="20">
        <f t="shared" si="10"/>
        <v>242.11168607707398</v>
      </c>
      <c r="R13" s="27">
        <f>SUM(pStage3Death*L12*(1-'Life Table - Female'!B67),R12)</f>
        <v>96.481421736170986</v>
      </c>
      <c r="S13" s="19">
        <f t="shared" si="11"/>
        <v>0</v>
      </c>
      <c r="T13" s="23">
        <f t="shared" si="12"/>
        <v>0</v>
      </c>
      <c r="U13" s="181">
        <f>SUM(B12*'Life Table - Female'!B67,U12)</f>
        <v>71.640039163507183</v>
      </c>
      <c r="V13" s="49">
        <f t="shared" si="14"/>
        <v>0</v>
      </c>
      <c r="W13" s="54">
        <v>1.3333333333333333</v>
      </c>
      <c r="X13" s="13">
        <f t="shared" si="15"/>
        <v>3735436.1156175192</v>
      </c>
      <c r="Y13" s="25">
        <f t="shared" si="15"/>
        <v>768.67159777677114</v>
      </c>
    </row>
    <row r="14" spans="1:25" x14ac:dyDescent="0.2">
      <c r="A14" s="10">
        <v>11</v>
      </c>
      <c r="B14" s="15">
        <f t="shared" si="13"/>
        <v>810.70417064307094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SUM(pHealthyStage1*C13,(1-SUM(pStage1Remission,pStage1Stage2))*F13,pStage2Stage1*I13,pRemissionStage1_trtA*O13)*(1-'Life Table - Female'!B68)</f>
        <v>85.551144248458783</v>
      </c>
      <c r="G14" s="19">
        <f t="shared" si="3"/>
        <v>65924.231298620216</v>
      </c>
      <c r="H14" s="20">
        <f t="shared" si="4"/>
        <v>36.25832721424112</v>
      </c>
      <c r="I14" s="27">
        <f>SUM(pHealthyStage2*C13,pStage1Stage2*F13,(1-SUM(pStage2Remission, pStage2Stage1, pStage2Stage3))*I13,pStage3Stage2*L13,pRemissionStage2_trtA*O13)*(1-'Life Table - Female'!B68)</f>
        <v>54.118570756047546</v>
      </c>
      <c r="J14" s="19">
        <f t="shared" si="5"/>
        <v>187662.75347176471</v>
      </c>
      <c r="K14" s="20">
        <f t="shared" si="6"/>
        <v>18.505632634021239</v>
      </c>
      <c r="L14" s="27">
        <f>SUM(pHealthyStage3*C13,pStage2Stage3*I13,(1-SUM(pStage3Death, pStage3Stage2))*L13)*(1-'Life Table - Female'!B68)</f>
        <v>25.568221637814975</v>
      </c>
      <c r="M14" s="19">
        <f t="shared" si="7"/>
        <v>285685.22248669935</v>
      </c>
      <c r="N14" s="20">
        <f t="shared" si="8"/>
        <v>4.4330465558280938</v>
      </c>
      <c r="O14" s="27">
        <f>SUM(pStage1Remission*F13,pStage2Remission*I13,(1-SUM(pRemissionStage1_trtA, pRemissionStage2_trtA))*O13)*(1-'Life Table - Female'!B68)</f>
        <v>279.77005004816442</v>
      </c>
      <c r="P14" s="19">
        <f t="shared" si="9"/>
        <v>1360886.3671799568</v>
      </c>
      <c r="Q14" s="20">
        <f t="shared" si="10"/>
        <v>128.00416324959988</v>
      </c>
      <c r="R14" s="27">
        <f>SUM(pStage3Death*L13*(1-'Life Table - Female'!B68),R13)</f>
        <v>108.39804616946897</v>
      </c>
      <c r="S14" s="19">
        <f t="shared" si="11"/>
        <v>0</v>
      </c>
      <c r="T14" s="23">
        <f t="shared" si="12"/>
        <v>0</v>
      </c>
      <c r="U14" s="181">
        <f>SUM(B13*'Life Table - Female'!B68,U13)</f>
        <v>80.89778318746059</v>
      </c>
      <c r="V14" s="49">
        <f t="shared" si="14"/>
        <v>0</v>
      </c>
      <c r="W14" s="54">
        <v>0.66666666666666663</v>
      </c>
      <c r="X14" s="13">
        <f t="shared" si="15"/>
        <v>1900158.5744370411</v>
      </c>
      <c r="Y14" s="25">
        <f t="shared" si="15"/>
        <v>363.32563902590528</v>
      </c>
    </row>
    <row r="15" spans="1:25" x14ac:dyDescent="0.2">
      <c r="A15" s="10">
        <v>12</v>
      </c>
      <c r="B15" s="15">
        <f t="shared" si="13"/>
        <v>789.6622155097383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SUM(pHealthyStage1*C14,(1-SUM(pStage1Remission,pStage1Stage2))*F14,pStage2Stage1*I14,pRemissionStage1_trtA*O14)*(1-'Life Table - Female'!B69)</f>
        <v>81.213616577816026</v>
      </c>
      <c r="G15" s="19">
        <f t="shared" si="3"/>
        <v>121518.07288615823</v>
      </c>
      <c r="H15" s="20">
        <f t="shared" si="4"/>
        <v>66.834940087387025</v>
      </c>
      <c r="I15" s="27">
        <f>SUM(pHealthyStage2*C14,pStage1Stage2*F14,(1-SUM(pStage2Remission, pStage2Stage1, pStage2Stage3))*I14,pStage3Stage2*L14,pRemissionStage2_trtA*O14)*(1-'Life Table - Female'!B69)</f>
        <v>51.790846562897727</v>
      </c>
      <c r="J15" s="19">
        <f t="shared" si="5"/>
        <v>348720.55447082751</v>
      </c>
      <c r="K15" s="20">
        <f t="shared" si="6"/>
        <v>34.387721343651037</v>
      </c>
      <c r="L15" s="27">
        <f>SUM(pHealthyStage3*C14,pStage2Stage3*I14,(1-SUM(pStage3Death, pStage3Stage2))*L14)*(1-'Life Table - Female'!B69)</f>
        <v>24.265815237790765</v>
      </c>
      <c r="M15" s="19">
        <f t="shared" si="7"/>
        <v>526471.55513997737</v>
      </c>
      <c r="N15" s="20">
        <f t="shared" si="8"/>
        <v>8.1693862004479225</v>
      </c>
      <c r="O15" s="27">
        <f>SUM(pStage1Remission*F14,pStage2Remission*I14,(1-SUM(pRemissionStage1_trtA, pRemissionStage2_trtA))*O14)*(1-'Life Table - Female'!B69)</f>
        <v>299.96594810702697</v>
      </c>
      <c r="P15" s="19">
        <f t="shared" si="9"/>
        <v>2833253.0873697465</v>
      </c>
      <c r="Q15" s="20">
        <f t="shared" si="10"/>
        <v>266.49410227735234</v>
      </c>
      <c r="R15" s="27">
        <f>SUM(pStage3Death*L14*(1-'Life Table - Female'!B69),R14)</f>
        <v>119.76645674090319</v>
      </c>
      <c r="S15" s="19">
        <f t="shared" si="11"/>
        <v>0</v>
      </c>
      <c r="T15" s="23">
        <f t="shared" si="12"/>
        <v>0</v>
      </c>
      <c r="U15" s="181">
        <f>SUM(B14*'Life Table - Female'!B69,U14)</f>
        <v>90.571327749359</v>
      </c>
      <c r="V15" s="49">
        <f t="shared" si="14"/>
        <v>0</v>
      </c>
      <c r="W15" s="54">
        <v>1.3333333333333333</v>
      </c>
      <c r="X15" s="13">
        <f t="shared" si="15"/>
        <v>3829963.2698667096</v>
      </c>
      <c r="Y15" s="25">
        <f t="shared" si="15"/>
        <v>686.76201704861001</v>
      </c>
    </row>
    <row r="16" spans="1:25" x14ac:dyDescent="0.2">
      <c r="A16" s="10">
        <v>13</v>
      </c>
      <c r="B16" s="15">
        <f t="shared" si="13"/>
        <v>768.71970438598157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SUM(pHealthyStage1*C15,(1-SUM(pStage1Remission,pStage1Stage2))*F15,pStage2Stage1*I15,pRemissionStage1_trtA*O15)*(1-'Life Table - Female'!B70)</f>
        <v>76.995116460225248</v>
      </c>
      <c r="G16" s="19">
        <f t="shared" si="3"/>
        <v>55925.256241622577</v>
      </c>
      <c r="H16" s="20">
        <f t="shared" si="4"/>
        <v>30.75889093289242</v>
      </c>
      <c r="I16" s="27">
        <f>SUM(pHealthyStage2*C15,pStage1Stage2*F15,(1-SUM(pStage2Remission, pStage2Stage1, pStage2Stage3))*I15,pStage3Stage2*L15,pRemissionStage2_trtA*O15)*(1-'Life Table - Female'!B70)</f>
        <v>49.413070995231877</v>
      </c>
      <c r="J16" s="19">
        <f t="shared" si="5"/>
        <v>161509.90515542967</v>
      </c>
      <c r="K16" s="20">
        <f t="shared" si="6"/>
        <v>15.926671202827091</v>
      </c>
      <c r="L16" s="27">
        <f>SUM(pHealthyStage3*C15,pStage2Stage3*I15,(1-SUM(pStage3Death, pStage3Stage2))*L15)*(1-'Life Table - Female'!B70)</f>
        <v>22.92686429138066</v>
      </c>
      <c r="M16" s="19">
        <f t="shared" si="7"/>
        <v>241466.82126435448</v>
      </c>
      <c r="N16" s="20">
        <f t="shared" si="8"/>
        <v>3.7468989506537764</v>
      </c>
      <c r="O16" s="27">
        <f>SUM(pStage1Remission*F15,pStage2Remission*I15,(1-SUM(pRemissionStage1_trtA, pRemissionStage2_trtA))*O15)*(1-'Life Table - Female'!B70)</f>
        <v>317.48898675595268</v>
      </c>
      <c r="P16" s="19">
        <f t="shared" si="9"/>
        <v>1455709.9764945847</v>
      </c>
      <c r="Q16" s="20">
        <f t="shared" si="10"/>
        <v>136.92321561087675</v>
      </c>
      <c r="R16" s="27">
        <f>SUM(pStage3Death*L15*(1-'Life Table - Female'!B70),R15)</f>
        <v>130.54553144010163</v>
      </c>
      <c r="S16" s="19">
        <f t="shared" si="11"/>
        <v>0</v>
      </c>
      <c r="T16" s="23">
        <f t="shared" si="12"/>
        <v>0</v>
      </c>
      <c r="U16" s="181">
        <f>SUM(B15*'Life Table - Female'!B70,U15)</f>
        <v>100.7347641739172</v>
      </c>
      <c r="V16" s="49">
        <f t="shared" si="14"/>
        <v>0</v>
      </c>
      <c r="W16" s="54">
        <v>0.66666666666666663</v>
      </c>
      <c r="X16" s="13">
        <f t="shared" si="15"/>
        <v>1914611.9591559914</v>
      </c>
      <c r="Y16" s="25">
        <f t="shared" si="15"/>
        <v>324.40651551144458</v>
      </c>
    </row>
    <row r="17" spans="1:25" x14ac:dyDescent="0.2">
      <c r="A17" s="10">
        <v>14</v>
      </c>
      <c r="B17" s="15">
        <f t="shared" si="13"/>
        <v>747.78535356534087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SUM(pHealthyStage1*C16,(1-SUM(pStage1Remission,pStage1Stage2))*F16,pStage2Stage1*I16,pRemissionStage1_trtA*O16)*(1-'Life Table - Female'!B71)</f>
        <v>72.926610230948441</v>
      </c>
      <c r="G17" s="19">
        <f t="shared" si="3"/>
        <v>102854.5718222385</v>
      </c>
      <c r="H17" s="20">
        <f t="shared" si="4"/>
        <v>56.570014502231182</v>
      </c>
      <c r="I17" s="27">
        <f>SUM(pHealthyStage2*C16,pStage1Stage2*F16,(1-SUM(pStage2Remission, pStage2Stage1, pStage2Stage3))*I16,pStage3Stage2*L16,pRemissionStage2_trtA*O16)*(1-'Life Table - Female'!B71)</f>
        <v>47.038633205741966</v>
      </c>
      <c r="J17" s="19">
        <f t="shared" si="5"/>
        <v>298541.54854739492</v>
      </c>
      <c r="K17" s="20">
        <f t="shared" si="6"/>
        <v>29.439513815090333</v>
      </c>
      <c r="L17" s="27">
        <f>SUM(pHealthyStage3*C16,pStage2Stage3*I16,(1-SUM(pStage3Death, pStage3Stage2))*L16)*(1-'Life Table - Female'!B71)</f>
        <v>21.587839379455151</v>
      </c>
      <c r="M17" s="19">
        <f t="shared" si="7"/>
        <v>441483.78142335464</v>
      </c>
      <c r="N17" s="20">
        <f t="shared" si="8"/>
        <v>6.8506104013968825</v>
      </c>
      <c r="O17" s="27">
        <f>SUM(pStage1Remission*F16,pStage2Remission*I16,(1-SUM(pRemissionStage1_trtA, pRemissionStage2_trtA))*O16)*(1-'Life Table - Female'!B71)</f>
        <v>332.37653707987573</v>
      </c>
      <c r="P17" s="19">
        <f t="shared" si="9"/>
        <v>2959165.9649178232</v>
      </c>
      <c r="Q17" s="20">
        <f t="shared" si="10"/>
        <v>278.33739273979523</v>
      </c>
      <c r="R17" s="27">
        <f>SUM(pStage3Death*L16*(1-'Life Table - Female'!B71),R16)</f>
        <v>140.71818622386246</v>
      </c>
      <c r="S17" s="19">
        <f t="shared" si="11"/>
        <v>0</v>
      </c>
      <c r="T17" s="23">
        <f t="shared" si="12"/>
        <v>0</v>
      </c>
      <c r="U17" s="181">
        <f>SUM(B16*'Life Table - Female'!B71,U16)</f>
        <v>111.49646021079704</v>
      </c>
      <c r="V17" s="49">
        <f t="shared" si="14"/>
        <v>0</v>
      </c>
      <c r="W17" s="54">
        <v>1.3333333333333333</v>
      </c>
      <c r="X17" s="13">
        <f t="shared" si="15"/>
        <v>3802045.8667108114</v>
      </c>
      <c r="Y17" s="25">
        <f t="shared" si="15"/>
        <v>612.59873379759188</v>
      </c>
    </row>
    <row r="18" spans="1:25" x14ac:dyDescent="0.2">
      <c r="A18" s="10">
        <v>15</v>
      </c>
      <c r="B18" s="15">
        <f t="shared" si="13"/>
        <v>726.80435130631474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SUM(pHealthyStage1*C17,(1-SUM(pStage1Remission,pStage1Stage2))*F17,pStage2Stage1*I17,pRemissionStage1_trtA*O17)*(1-'Life Table - Female'!B72)</f>
        <v>69.024569268240327</v>
      </c>
      <c r="G18" s="19">
        <f t="shared" si="3"/>
        <v>47257.860745314531</v>
      </c>
      <c r="H18" s="20">
        <f t="shared" si="4"/>
        <v>25.991823409922986</v>
      </c>
      <c r="I18" s="27">
        <f>SUM(pHealthyStage2*C17,pStage1Stage2*F17,(1-SUM(pStage2Remission, pStage2Stage1, pStage2Stage3))*I17,pStage3Stage2*L17,pRemissionStage2_trtA*O17)*(1-'Life Table - Female'!B72)</f>
        <v>44.703152158528674</v>
      </c>
      <c r="J18" s="19">
        <f t="shared" si="5"/>
        <v>137727.61103637598</v>
      </c>
      <c r="K18" s="20">
        <f t="shared" si="6"/>
        <v>13.581472754975964</v>
      </c>
      <c r="L18" s="27">
        <f>SUM(pHealthyStage3*C17,pStage2Stage3*I17,(1-SUM(pStage3Death, pStage3Stage2))*L17)*(1-'Life Table - Female'!B72)</f>
        <v>20.27399696180575</v>
      </c>
      <c r="M18" s="19">
        <f t="shared" si="7"/>
        <v>201269.39091795922</v>
      </c>
      <c r="N18" s="20">
        <f t="shared" si="8"/>
        <v>3.1231457211407458</v>
      </c>
      <c r="O18" s="27">
        <f>SUM(pStage1Remission*F17,pStage2Remission*I17,(1-SUM(pRemissionStage1_trtA, pRemissionStage2_trtA))*O17)*(1-'Life Table - Female'!B72)</f>
        <v>344.70127280420593</v>
      </c>
      <c r="P18" s="19">
        <f t="shared" si="9"/>
        <v>1489754.2435637144</v>
      </c>
      <c r="Q18" s="20">
        <f t="shared" si="10"/>
        <v>140.12539914708208</v>
      </c>
      <c r="R18" s="27">
        <f>SUM(pStage3Death*L17*(1-'Life Table - Female'!B72),R17)</f>
        <v>150.28442400361877</v>
      </c>
      <c r="S18" s="19">
        <f t="shared" si="11"/>
        <v>0</v>
      </c>
      <c r="T18" s="23">
        <f t="shared" si="12"/>
        <v>0</v>
      </c>
      <c r="U18" s="181">
        <f>SUM(B17*'Life Table - Female'!B72,U17)</f>
        <v>122.91122469006687</v>
      </c>
      <c r="V18" s="49">
        <f t="shared" si="14"/>
        <v>0</v>
      </c>
      <c r="W18" s="54">
        <v>0.66666666666666663</v>
      </c>
      <c r="X18" s="13">
        <f t="shared" si="15"/>
        <v>1876009.1062633642</v>
      </c>
      <c r="Y18" s="25">
        <f t="shared" si="15"/>
        <v>288.98638913595335</v>
      </c>
    </row>
    <row r="19" spans="1:25" x14ac:dyDescent="0.2">
      <c r="A19" s="10">
        <v>16</v>
      </c>
      <c r="B19" s="15">
        <f t="shared" si="13"/>
        <v>705.70091934068046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SUM(pHealthyStage1*C18,(1-SUM(pStage1Remission,pStage1Stage2))*F18,pStage2Stage1*I18,pRemissionStage1_trtA*O18)*(1-'Life Table - Female'!B73)</f>
        <v>65.291812980060044</v>
      </c>
      <c r="G19" s="19">
        <f t="shared" si="3"/>
        <v>86800.425068621102</v>
      </c>
      <c r="H19" s="20">
        <f t="shared" si="4"/>
        <v>47.740233787741616</v>
      </c>
      <c r="I19" s="27">
        <f>SUM(pHealthyStage2*C18,pStage1Stage2*F18,(1-SUM(pStage2Remission, pStage2Stage1, pStage2Stage3))*I18,pStage3Stage2*L18,pRemissionStage2_trtA*O18)*(1-'Life Table - Female'!B73)</f>
        <v>42.426840663116216</v>
      </c>
      <c r="J19" s="19">
        <f t="shared" si="5"/>
        <v>253814.44259341076</v>
      </c>
      <c r="K19" s="20">
        <f t="shared" si="6"/>
        <v>25.028924200183557</v>
      </c>
      <c r="L19" s="27">
        <f>SUM(pHealthyStage3*C18,pStage2Stage3*I18,(1-SUM(pStage3Death, pStage3Stage2))*L18)*(1-'Life Table - Female'!B73)</f>
        <v>19.000921108481517</v>
      </c>
      <c r="M19" s="19">
        <f t="shared" si="7"/>
        <v>366273.73827895825</v>
      </c>
      <c r="N19" s="20">
        <f t="shared" si="8"/>
        <v>5.6835580077769379</v>
      </c>
      <c r="O19" s="27">
        <f>SUM(pStage1Remission*F18,pStage2Remission*I18,(1-SUM(pRemissionStage1_trtA, pRemissionStage2_trtA))*O18)*(1-'Life Table - Female'!B73)</f>
        <v>354.53828776315032</v>
      </c>
      <c r="P19" s="19">
        <f t="shared" si="9"/>
        <v>2975278.7335722605</v>
      </c>
      <c r="Q19" s="20">
        <f t="shared" si="10"/>
        <v>279.8529501874898</v>
      </c>
      <c r="R19" s="27">
        <f>SUM(pStage3Death*L18*(1-'Life Table - Female'!B73),R18)</f>
        <v>159.25542889306291</v>
      </c>
      <c r="S19" s="19">
        <f t="shared" si="11"/>
        <v>0</v>
      </c>
      <c r="T19" s="23">
        <f t="shared" si="12"/>
        <v>0</v>
      </c>
      <c r="U19" s="181">
        <f>SUM(B18*'Life Table - Female'!B73,U18)</f>
        <v>135.04365176625706</v>
      </c>
      <c r="V19" s="49">
        <f t="shared" si="14"/>
        <v>0</v>
      </c>
      <c r="W19" s="54">
        <v>1.3333333333333333</v>
      </c>
      <c r="X19" s="13">
        <f t="shared" si="15"/>
        <v>3682167.3395132506</v>
      </c>
      <c r="Y19" s="25">
        <f t="shared" si="15"/>
        <v>544.79298985170522</v>
      </c>
    </row>
    <row r="20" spans="1:25" x14ac:dyDescent="0.2">
      <c r="A20" s="10">
        <v>17</v>
      </c>
      <c r="B20" s="15">
        <f t="shared" si="13"/>
        <v>684.41210628503336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SUM(pHealthyStage1*C19,(1-SUM(pStage1Remission,pStage1Stage2))*F19,pStage2Stage1*I19,pRemissionStage1_trtA*O19)*(1-'Life Table - Female'!B74)</f>
        <v>61.725100632141391</v>
      </c>
      <c r="G20" s="19">
        <f t="shared" si="3"/>
        <v>39834.347737460288</v>
      </c>
      <c r="H20" s="20">
        <f t="shared" si="4"/>
        <v>21.908891255603162</v>
      </c>
      <c r="I20" s="27">
        <f>SUM(pHealthyStage2*C19,pStage1Stage2*F19,(1-SUM(pStage2Remission, pStage2Stage1, pStage2Stage3))*I19,pStage3Stage2*L19,pRemissionStage2_trtA*O19)*(1-'Life Table - Female'!B74)</f>
        <v>40.220975884677067</v>
      </c>
      <c r="J20" s="19">
        <f t="shared" si="5"/>
        <v>116804.88901514673</v>
      </c>
      <c r="K20" s="20">
        <f t="shared" si="6"/>
        <v>11.518259888993637</v>
      </c>
      <c r="L20" s="27">
        <f>SUM(pHealthyStage3*C19,pStage2Stage3*I19,(1-SUM(pStage3Death, pStage3Stage2))*L19)*(1-'Life Table - Female'!B74)</f>
        <v>17.77802941021902</v>
      </c>
      <c r="M20" s="19">
        <f t="shared" si="7"/>
        <v>166359.46926343531</v>
      </c>
      <c r="N20" s="20">
        <f t="shared" si="8"/>
        <v>2.5814400402946855</v>
      </c>
      <c r="O20" s="27">
        <f>SUM(pStage1Remission*F19,pStage2Remission*I19,(1-SUM(pRemissionStage1_trtA, pRemissionStage2_trtA))*O19)*(1-'Life Table - Female'!B74)</f>
        <v>361.97334884348038</v>
      </c>
      <c r="P20" s="19">
        <f t="shared" si="9"/>
        <v>1474598.848652601</v>
      </c>
      <c r="Q20" s="20">
        <f t="shared" si="10"/>
        <v>138.69989170494762</v>
      </c>
      <c r="R20" s="27">
        <f>SUM(pStage3Death*L19*(1-'Life Table - Female'!B74),R19)</f>
        <v>167.64960942668046</v>
      </c>
      <c r="S20" s="19">
        <f t="shared" si="11"/>
        <v>0</v>
      </c>
      <c r="T20" s="23">
        <f t="shared" si="12"/>
        <v>0</v>
      </c>
      <c r="U20" s="181">
        <f>SUM(B19*'Life Table - Female'!B74,U19)</f>
        <v>147.93828428828655</v>
      </c>
      <c r="V20" s="49">
        <f t="shared" si="14"/>
        <v>0</v>
      </c>
      <c r="W20" s="54">
        <v>0.66666666666666663</v>
      </c>
      <c r="X20" s="13">
        <f t="shared" si="15"/>
        <v>1797597.5546686433</v>
      </c>
      <c r="Y20" s="25">
        <f t="shared" si="15"/>
        <v>256.47228154315479</v>
      </c>
    </row>
    <row r="21" spans="1:25" x14ac:dyDescent="0.2">
      <c r="A21" s="10">
        <v>18</v>
      </c>
      <c r="B21" s="15">
        <f t="shared" si="13"/>
        <v>662.85293595824191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SUM(pHealthyStage1*C20,(1-SUM(pStage1Remission,pStage1Stage2))*F20,pStage2Stage1*I20,pRemissionStage1_trtA*O20)*(1-'Life Table - Female'!B75)</f>
        <v>58.314701326690759</v>
      </c>
      <c r="G21" s="19">
        <f t="shared" si="3"/>
        <v>73074.647688644778</v>
      </c>
      <c r="H21" s="20">
        <f t="shared" si="4"/>
        <v>40.191056228754633</v>
      </c>
      <c r="I21" s="27">
        <f>SUM(pHealthyStage2*C20,pStage1Stage2*F20,(1-SUM(pStage2Remission, pStage2Stage1, pStage2Stage3))*I20,pStage3Stage2*L20,pRemissionStage2_trtA*O20)*(1-'Life Table - Female'!B75)</f>
        <v>38.088892290138205</v>
      </c>
      <c r="J21" s="19">
        <f t="shared" si="5"/>
        <v>214782.81543652405</v>
      </c>
      <c r="K21" s="20">
        <f t="shared" si="6"/>
        <v>21.17997207776834</v>
      </c>
      <c r="L21" s="27">
        <f>SUM(pHealthyStage3*C20,pStage2Stage3*I20,(1-SUM(pStage3Death, pStage3Stage2))*L20)*(1-'Life Table - Female'!B75)</f>
        <v>16.609549242928914</v>
      </c>
      <c r="M21" s="19">
        <f t="shared" si="7"/>
        <v>301796.72548989131</v>
      </c>
      <c r="N21" s="20">
        <f t="shared" si="8"/>
        <v>4.6830526369121062</v>
      </c>
      <c r="O21" s="27">
        <f>SUM(pStage1Remission*F20,pStage2Remission*I20,(1-SUM(pRemissionStage1_trtA, pRemissionStage2_trtA))*O20)*(1-'Life Table - Female'!B75)</f>
        <v>367.08076009080173</v>
      </c>
      <c r="P21" s="19">
        <f t="shared" si="9"/>
        <v>2903699.6216985802</v>
      </c>
      <c r="Q21" s="20">
        <f t="shared" si="10"/>
        <v>273.12026144689617</v>
      </c>
      <c r="R21" s="27">
        <f>SUM(pStage3Death*L20*(1-'Life Table - Female'!B75),R20)</f>
        <v>175.48935591260158</v>
      </c>
      <c r="S21" s="19">
        <f t="shared" si="11"/>
        <v>0</v>
      </c>
      <c r="T21" s="23">
        <f t="shared" si="12"/>
        <v>0</v>
      </c>
      <c r="U21" s="181">
        <f>SUM(B20*'Life Table - Female'!B75,U20)</f>
        <v>161.65770812915682</v>
      </c>
      <c r="V21" s="49">
        <f t="shared" si="14"/>
        <v>0</v>
      </c>
      <c r="W21" s="54">
        <v>1.3333333333333333</v>
      </c>
      <c r="X21" s="13">
        <f t="shared" si="15"/>
        <v>3493353.8103136402</v>
      </c>
      <c r="Y21" s="25">
        <f t="shared" si="15"/>
        <v>482.30990303283636</v>
      </c>
    </row>
    <row r="22" spans="1:25" x14ac:dyDescent="0.2">
      <c r="A22" s="10">
        <v>19</v>
      </c>
      <c r="B22" s="15">
        <f t="shared" si="13"/>
        <v>641.13754775082293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SUM(pHealthyStage1*C21,(1-SUM(pStage1Remission,pStage1Stage2))*F21,pStage2Stage1*I21,pRemissionStage1_trtA*O21)*(1-'Life Table - Female'!B76)</f>
        <v>55.065441391095476</v>
      </c>
      <c r="G22" s="19">
        <f t="shared" si="3"/>
        <v>33496.588571277607</v>
      </c>
      <c r="H22" s="20">
        <f t="shared" si="4"/>
        <v>18.423123714202688</v>
      </c>
      <c r="I22" s="27">
        <f>SUM(pHealthyStage2*C21,pStage1Stage2*F21,(1-SUM(pStage2Remission, pStage2Stage1, pStage2Stage3))*I21,pStage3Stage2*L21,pRemissionStage2_trtA*O21)*(1-'Life Table - Female'!B76)</f>
        <v>36.040726526710152</v>
      </c>
      <c r="J22" s="19">
        <f t="shared" si="5"/>
        <v>98656.909124796875</v>
      </c>
      <c r="K22" s="20">
        <f t="shared" si="6"/>
        <v>9.7286674275841367</v>
      </c>
      <c r="L22" s="27">
        <f>SUM(pHealthyStage3*C21,pStage2Stage3*I21,(1-SUM(pStage3Death, pStage3Stage2))*L21)*(1-'Life Table - Female'!B76)</f>
        <v>15.501378693822796</v>
      </c>
      <c r="M22" s="19">
        <f t="shared" si="7"/>
        <v>136728.73082496517</v>
      </c>
      <c r="N22" s="20">
        <f t="shared" si="8"/>
        <v>2.1216527196977348</v>
      </c>
      <c r="O22" s="27">
        <f>SUM(pStage1Remission*F21,pStage2Remission*I21,(1-SUM(pRemissionStage1_trtA, pRemissionStage2_trtA))*O21)*(1-'Life Table - Female'!B76)</f>
        <v>370.04526268438718</v>
      </c>
      <c r="P22" s="19">
        <f t="shared" si="9"/>
        <v>1420946.3934854853</v>
      </c>
      <c r="Q22" s="20">
        <f t="shared" si="10"/>
        <v>133.65337364467436</v>
      </c>
      <c r="R22" s="27">
        <f>SUM(pStage3Death*L21*(1-'Life Table - Female'!B76),R21)</f>
        <v>182.80123986516406</v>
      </c>
      <c r="S22" s="19">
        <f t="shared" si="11"/>
        <v>0</v>
      </c>
      <c r="T22" s="23">
        <f t="shared" si="12"/>
        <v>0</v>
      </c>
      <c r="U22" s="181">
        <f>SUM(B21*'Life Table - Female'!B76,U21)</f>
        <v>176.06121238401346</v>
      </c>
      <c r="V22" s="49">
        <f t="shared" si="14"/>
        <v>0</v>
      </c>
      <c r="W22" s="54">
        <v>0.66666666666666663</v>
      </c>
      <c r="X22" s="13">
        <f t="shared" si="15"/>
        <v>1689828.6220065251</v>
      </c>
      <c r="Y22" s="25">
        <f t="shared" si="15"/>
        <v>226.46238281588603</v>
      </c>
    </row>
    <row r="23" spans="1:25" x14ac:dyDescent="0.2">
      <c r="A23" s="10">
        <v>20</v>
      </c>
      <c r="B23" s="15">
        <f t="shared" si="13"/>
        <v>618.61260615941342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SUM(pHealthyStage1*C22,(1-SUM(pStage1Remission,pStage1Stage2))*F22,pStage2Stage1*I22,pRemissionStage1_trtA*O22)*(1-'Life Table - Female'!B77)</f>
        <v>51.914795618742708</v>
      </c>
      <c r="G23" s="19">
        <f t="shared" si="3"/>
        <v>61320.455717625184</v>
      </c>
      <c r="H23" s="20">
        <f t="shared" si="4"/>
        <v>33.726250644693856</v>
      </c>
      <c r="I23" s="27">
        <f>SUM(pHealthyStage2*C22,pStage1Stage2*F22,(1-SUM(pStage2Remission, pStage2Stage1, pStage2Stage3))*I22,pStage3Stage2*L22,pRemissionStage2_trtA*O22)*(1-'Life Table - Female'!B77)</f>
        <v>34.040559769719003</v>
      </c>
      <c r="J23" s="19">
        <f t="shared" si="5"/>
        <v>180935.35299287215</v>
      </c>
      <c r="K23" s="20">
        <f t="shared" si="6"/>
        <v>17.842236197908225</v>
      </c>
      <c r="L23" s="27">
        <f>SUM(pHealthyStage3*C22,pStage2Stage3*I22,(1-SUM(pStage3Death, pStage3Stage2))*L22)*(1-'Life Table - Female'!B77)</f>
        <v>14.438717043179864</v>
      </c>
      <c r="M23" s="19">
        <f t="shared" si="7"/>
        <v>247292.43616277896</v>
      </c>
      <c r="N23" s="20">
        <f t="shared" si="8"/>
        <v>3.8372964232155358</v>
      </c>
      <c r="O23" s="27">
        <f>SUM(pStage1Remission*F22,pStage2Remission*I22,(1-SUM(pRemissionStage1_trtA, pRemissionStage2_trtA))*O22)*(1-'Life Table - Female'!B77)</f>
        <v>370.60300829955332</v>
      </c>
      <c r="P23" s="19">
        <f t="shared" si="9"/>
        <v>2763277.8550029271</v>
      </c>
      <c r="Q23" s="20">
        <f t="shared" si="10"/>
        <v>259.91227349037433</v>
      </c>
      <c r="R23" s="27">
        <f>SUM(pStage3Death*L22*(1-'Life Table - Female'!B77),R22)</f>
        <v>189.60582168686389</v>
      </c>
      <c r="S23" s="19">
        <f t="shared" si="11"/>
        <v>0</v>
      </c>
      <c r="T23" s="23">
        <f t="shared" si="12"/>
        <v>0</v>
      </c>
      <c r="U23" s="181">
        <f>SUM(B22*'Life Table - Female'!B77,U22)</f>
        <v>191.78157215372303</v>
      </c>
      <c r="V23" s="49">
        <f t="shared" si="14"/>
        <v>0</v>
      </c>
      <c r="W23" s="54">
        <v>1.3333333333333333</v>
      </c>
      <c r="X23" s="13">
        <f t="shared" si="15"/>
        <v>3252826.0998762036</v>
      </c>
      <c r="Y23" s="25">
        <f t="shared" si="15"/>
        <v>424.2929065843</v>
      </c>
    </row>
    <row r="24" spans="1:25" x14ac:dyDescent="0.2">
      <c r="A24" s="10">
        <v>21</v>
      </c>
      <c r="B24" s="15">
        <f t="shared" si="13"/>
        <v>595.67241139252747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SUM(pHealthyStage1*C23,(1-SUM(pStage1Remission,pStage1Stage2))*F23,pStage2Stage1*I23,pRemissionStage1_trtA*O23)*(1-'Life Table - Female'!B78)</f>
        <v>48.889937622678808</v>
      </c>
      <c r="G24" s="19">
        <f t="shared" si="3"/>
        <v>28032.800606197608</v>
      </c>
      <c r="H24" s="20">
        <f t="shared" si="4"/>
        <v>15.418040333408685</v>
      </c>
      <c r="I24" s="27">
        <f>SUM(pHealthyStage2*C23,pStage1Stage2*F23,(1-SUM(pStage2Remission, pStage2Stage1, pStage2Stage3))*I23,pStage3Stage2*L23,pRemissionStage2_trtA*O23)*(1-'Life Table - Female'!B78)</f>
        <v>32.109743622328907</v>
      </c>
      <c r="J24" s="19">
        <f t="shared" si="5"/>
        <v>82850.733282281086</v>
      </c>
      <c r="K24" s="20">
        <f t="shared" si="6"/>
        <v>8.1700028653360519</v>
      </c>
      <c r="L24" s="27">
        <f>SUM(pHealthyStage3*C23,pStage2Stage3*I23,(1-SUM(pStage3Death, pStage3Stage2))*L23)*(1-'Life Table - Female'!B78)</f>
        <v>13.430856200583408</v>
      </c>
      <c r="M24" s="19">
        <f t="shared" si="7"/>
        <v>111665.42066048452</v>
      </c>
      <c r="N24" s="20">
        <f t="shared" si="8"/>
        <v>1.7327392861109665</v>
      </c>
      <c r="O24" s="27">
        <f>SUM(pStage1Remission*F23,pStage2Remission*I23,(1-SUM(pRemissionStage1_trtA, pRemissionStage2_trtA))*O23)*(1-'Life Table - Female'!B78)</f>
        <v>369.08364867582338</v>
      </c>
      <c r="P24" s="19">
        <f t="shared" si="9"/>
        <v>1335897.6971767968</v>
      </c>
      <c r="Q24" s="20">
        <f t="shared" si="10"/>
        <v>125.65374379385715</v>
      </c>
      <c r="R24" s="27">
        <f>SUM(pStage3Death*L23*(1-'Life Table - Female'!B78),R23)</f>
        <v>195.92870916576882</v>
      </c>
      <c r="S24" s="19">
        <f t="shared" si="11"/>
        <v>0</v>
      </c>
      <c r="T24" s="23">
        <f t="shared" si="12"/>
        <v>0</v>
      </c>
      <c r="U24" s="181">
        <f>SUM(B23*'Life Table - Female'!B78,U23)</f>
        <v>208.39887944170411</v>
      </c>
      <c r="V24" s="49">
        <f t="shared" si="14"/>
        <v>0</v>
      </c>
      <c r="W24" s="54">
        <v>0.66666666666666663</v>
      </c>
      <c r="X24" s="13">
        <f t="shared" si="15"/>
        <v>1558446.6517257602</v>
      </c>
      <c r="Y24" s="25">
        <f t="shared" si="15"/>
        <v>198.33556514532194</v>
      </c>
    </row>
    <row r="25" spans="1:25" x14ac:dyDescent="0.2">
      <c r="A25" s="10">
        <v>22</v>
      </c>
      <c r="B25" s="15">
        <f t="shared" si="13"/>
        <v>571.9739696465117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SUM(pHealthyStage1*C24,(1-SUM(pStage1Remission,pStage1Stage2))*F24,pStage2Stage1*I24,pRemissionStage1_trtA*O24)*(1-'Life Table - Female'!B79)</f>
        <v>45.955080716128094</v>
      </c>
      <c r="G25" s="19">
        <f t="shared" si="3"/>
        <v>51165.0389401625</v>
      </c>
      <c r="H25" s="20">
        <f t="shared" si="4"/>
        <v>28.140771417089375</v>
      </c>
      <c r="I25" s="27">
        <f>SUM(pHealthyStage2*C24,pStage1Stage2*F24,(1-SUM(pStage2Remission, pStage2Stage1, pStage2Stage3))*I24,pStage3Stage2*L24,pRemissionStage2_trtA*O24)*(1-'Life Table - Female'!B79)</f>
        <v>30.227384858869097</v>
      </c>
      <c r="J25" s="19">
        <f t="shared" si="5"/>
        <v>151444.27659970167</v>
      </c>
      <c r="K25" s="20">
        <f t="shared" si="6"/>
        <v>14.934088386915025</v>
      </c>
      <c r="L25" s="27">
        <f>SUM(pHealthyStage3*C24,pStage2Stage3*I24,(1-SUM(pStage3Death, pStage3Stage2))*L24)*(1-'Life Table - Female'!B79)</f>
        <v>12.46861543978509</v>
      </c>
      <c r="M25" s="19">
        <f t="shared" si="7"/>
        <v>201291.76526716491</v>
      </c>
      <c r="N25" s="20">
        <f t="shared" si="8"/>
        <v>3.1234929093180765</v>
      </c>
      <c r="O25" s="27">
        <f>SUM(pStage1Remission*F24,pStage2Remission*I24,(1-SUM(pRemissionStage1_trtA, pRemissionStage2_trtA))*O24)*(1-'Life Table - Female'!B79)</f>
        <v>365.37781563620365</v>
      </c>
      <c r="P25" s="19">
        <f t="shared" si="9"/>
        <v>2567930.9518545135</v>
      </c>
      <c r="Q25" s="20">
        <f t="shared" si="10"/>
        <v>241.53805982789979</v>
      </c>
      <c r="R25" s="27">
        <f>SUM(pStage3Death*L24*(1-'Life Table - Female'!B79),R24)</f>
        <v>201.79162947664952</v>
      </c>
      <c r="S25" s="19">
        <f t="shared" si="11"/>
        <v>0</v>
      </c>
      <c r="T25" s="23">
        <f t="shared" si="12"/>
        <v>0</v>
      </c>
      <c r="U25" s="181">
        <f>SUM(B24*'Life Table - Female'!B79,U24)</f>
        <v>226.23440087683917</v>
      </c>
      <c r="V25" s="49">
        <f t="shared" si="14"/>
        <v>0</v>
      </c>
      <c r="W25" s="54">
        <v>1.3333333333333333</v>
      </c>
      <c r="X25" s="13">
        <f t="shared" si="15"/>
        <v>2971832.0326615428</v>
      </c>
      <c r="Y25" s="25">
        <f t="shared" si="15"/>
        <v>369.80927802444103</v>
      </c>
    </row>
    <row r="26" spans="1:25" x14ac:dyDescent="0.2">
      <c r="A26" s="10">
        <v>23</v>
      </c>
      <c r="B26" s="15">
        <f t="shared" si="13"/>
        <v>547.65223782724365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SUM(pHealthyStage1*C25,(1-SUM(pStage1Remission,pStage1Stage2))*F25,pStage2Stage1*I25,pRemissionStage1_trtA*O25)*(1-'Life Table - Female'!B80)</f>
        <v>43.113968061897872</v>
      </c>
      <c r="G26" s="19">
        <f t="shared" si="3"/>
        <v>23301.857982960046</v>
      </c>
      <c r="H26" s="20">
        <f t="shared" si="4"/>
        <v>12.816021890628026</v>
      </c>
      <c r="I26" s="27">
        <f>SUM(pHealthyStage2*C25,pStage1Stage2*F25,(1-SUM(pStage2Remission, pStage2Stage1, pStage2Stage3))*I25,pStage3Stage2*L25,pRemissionStage2_trtA*O25)*(1-'Life Table - Female'!B80)</f>
        <v>28.397821412254309</v>
      </c>
      <c r="J26" s="19">
        <f t="shared" si="5"/>
        <v>69066.92055825291</v>
      </c>
      <c r="K26" s="20">
        <f t="shared" si="6"/>
        <v>6.8107657772721613</v>
      </c>
      <c r="L26" s="27">
        <f>SUM(pHealthyStage3*C25,pStage2Stage3*I25,(1-SUM(pStage3Death, pStage3Stage2))*L25)*(1-'Life Table - Female'!B80)</f>
        <v>11.553146266710492</v>
      </c>
      <c r="M26" s="19">
        <f t="shared" si="7"/>
        <v>90540.070704300058</v>
      </c>
      <c r="N26" s="20">
        <f t="shared" si="8"/>
        <v>1.4049321316184493</v>
      </c>
      <c r="O26" s="27">
        <f>SUM(pStage1Remission*F25,pStage2Remission*I25,(1-SUM(pRemissionStage1_trtA, pRemissionStage2_trtA))*O25)*(1-'Life Table - Female'!B80)</f>
        <v>359.66264636735986</v>
      </c>
      <c r="P26" s="19">
        <f t="shared" si="9"/>
        <v>1227069.840560372</v>
      </c>
      <c r="Q26" s="20">
        <f t="shared" si="10"/>
        <v>115.41746025072806</v>
      </c>
      <c r="R26" s="27">
        <f>SUM(pStage3Death*L25*(1-'Life Table - Female'!B80),R25)</f>
        <v>207.21714070135027</v>
      </c>
      <c r="S26" s="19">
        <f t="shared" si="11"/>
        <v>0</v>
      </c>
      <c r="T26" s="23">
        <f t="shared" si="12"/>
        <v>0</v>
      </c>
      <c r="U26" s="181">
        <f>SUM(B25*'Life Table - Female'!B80,U25)</f>
        <v>245.13062147140653</v>
      </c>
      <c r="V26" s="49">
        <f t="shared" si="14"/>
        <v>0</v>
      </c>
      <c r="W26" s="54">
        <v>0.66666666666666663</v>
      </c>
      <c r="X26" s="13">
        <f t="shared" si="15"/>
        <v>1409978.6898058851</v>
      </c>
      <c r="Y26" s="25">
        <f t="shared" si="15"/>
        <v>171.89215155668307</v>
      </c>
    </row>
    <row r="27" spans="1:25" x14ac:dyDescent="0.2">
      <c r="A27" s="10">
        <v>24</v>
      </c>
      <c r="B27" s="15">
        <f t="shared" si="13"/>
        <v>522.3357027391545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SUM(pHealthyStage1*C26,(1-SUM(pStage1Remission,pStage1Stage2))*F26,pStage2Stage1*I26,pRemissionStage1_trtA*O26)*(1-'Life Table - Female'!B81)</f>
        <v>40.330151089432711</v>
      </c>
      <c r="G27" s="19">
        <f t="shared" si="3"/>
        <v>42324.825413464685</v>
      </c>
      <c r="H27" s="20">
        <f t="shared" si="4"/>
        <v>23.278653977405575</v>
      </c>
      <c r="I27" s="27">
        <f>SUM(pHealthyStage2*C26,pStage1Stage2*F26,(1-SUM(pStage2Remission, pStage2Stage1, pStage2Stage3))*I26,pStage3Stage2*L26,pRemissionStage2_trtA*O26)*(1-'Life Table - Female'!B81)</f>
        <v>26.59843496769064</v>
      </c>
      <c r="J27" s="19">
        <f t="shared" si="5"/>
        <v>125612.80794661934</v>
      </c>
      <c r="K27" s="20">
        <f t="shared" si="6"/>
        <v>12.386818561402741</v>
      </c>
      <c r="L27" s="27">
        <f>SUM(pHealthyStage3*C26,pStage2Stage3*I26,(1-SUM(pStage3Death, pStage3Stage2))*L26)*(1-'Life Table - Female'!B81)</f>
        <v>10.674372320093079</v>
      </c>
      <c r="M27" s="19">
        <f t="shared" si="7"/>
        <v>162433.52735634171</v>
      </c>
      <c r="N27" s="20">
        <f t="shared" si="8"/>
        <v>2.5205202520811647</v>
      </c>
      <c r="O27" s="27">
        <f>SUM(pStage1Remission*F26,pStage2Remission*I26,(1-SUM(pRemissionStage1_trtA, pRemissionStage2_trtA))*O26)*(1-'Life Table - Female'!B81)</f>
        <v>351.78203278603115</v>
      </c>
      <c r="P27" s="19">
        <f t="shared" si="9"/>
        <v>2330453.1235092734</v>
      </c>
      <c r="Q27" s="20">
        <f t="shared" si="10"/>
        <v>219.20103636968412</v>
      </c>
      <c r="R27" s="27">
        <f>SUM(pStage3Death*L26*(1-'Life Table - Female'!B81),R26)</f>
        <v>212.22324765684522</v>
      </c>
      <c r="S27" s="19">
        <f t="shared" si="11"/>
        <v>0</v>
      </c>
      <c r="T27" s="23">
        <f t="shared" si="12"/>
        <v>0</v>
      </c>
      <c r="U27" s="181">
        <f>SUM(B26*'Life Table - Female'!B81,U26)</f>
        <v>265.44104960400063</v>
      </c>
      <c r="V27" s="49">
        <f t="shared" si="14"/>
        <v>0</v>
      </c>
      <c r="W27" s="54">
        <v>1.3333333333333333</v>
      </c>
      <c r="X27" s="13">
        <f t="shared" si="15"/>
        <v>2660824.284225699</v>
      </c>
      <c r="Y27" s="25">
        <f t="shared" si="15"/>
        <v>318.35448361517626</v>
      </c>
    </row>
    <row r="28" spans="1:25" x14ac:dyDescent="0.2">
      <c r="A28" s="10">
        <v>25</v>
      </c>
      <c r="B28" s="15">
        <f t="shared" si="13"/>
        <v>496.20298147033344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SUM(pHealthyStage1*C27,(1-SUM(pStage1Remission,pStage1Stage2))*F27,pStage2Stage1*I27,pRemissionStage1_trtA*O27)*(1-'Life Table - Female'!B82)</f>
        <v>37.610990161538489</v>
      </c>
      <c r="G28" s="19">
        <f t="shared" si="3"/>
        <v>19160.766257702689</v>
      </c>
      <c r="H28" s="20">
        <f t="shared" si="4"/>
        <v>10.538421441736478</v>
      </c>
      <c r="I28" s="27">
        <f>SUM(pHealthyStage2*C27,pStage1Stage2*F27,(1-SUM(pStage2Remission, pStage2Stage1, pStage2Stage3))*I27,pStage3Stage2*L27,pRemissionStage2_trtA*O27)*(1-'Life Table - Female'!B82)</f>
        <v>24.835094309320997</v>
      </c>
      <c r="J28" s="19">
        <f t="shared" si="5"/>
        <v>56934.620905297241</v>
      </c>
      <c r="K28" s="20">
        <f t="shared" si="6"/>
        <v>5.6143862281612567</v>
      </c>
      <c r="L28" s="27">
        <f>SUM(pHealthyStage3*C27,pStage2Stage3*I27,(1-SUM(pStage3Death, pStage3Stage2))*L27)*(1-'Life Table - Female'!B82)</f>
        <v>9.8337551776037166</v>
      </c>
      <c r="M28" s="19">
        <f t="shared" si="7"/>
        <v>72641.616505491867</v>
      </c>
      <c r="N28" s="20">
        <f t="shared" si="8"/>
        <v>1.1271974974990118</v>
      </c>
      <c r="O28" s="27">
        <f>SUM(pStage1Remission*F27,pStage2Remission*I27,(1-SUM(pRemissionStage1_trtA, pRemissionStage2_trtA))*O27)*(1-'Life Table - Female'!B82)</f>
        <v>341.93283530375282</v>
      </c>
      <c r="P28" s="19">
        <f t="shared" si="9"/>
        <v>1099614.1114603148</v>
      </c>
      <c r="Q28" s="20">
        <f t="shared" si="10"/>
        <v>103.42905008785137</v>
      </c>
      <c r="R28" s="27">
        <f>SUM(pStage3Death*L27*(1-'Life Table - Female'!B82),R27)</f>
        <v>216.82874805789942</v>
      </c>
      <c r="S28" s="19">
        <f t="shared" si="11"/>
        <v>0</v>
      </c>
      <c r="T28" s="23">
        <f t="shared" si="12"/>
        <v>0</v>
      </c>
      <c r="U28" s="181">
        <f>SUM(B27*'Life Table - Female'!B82,U27)</f>
        <v>286.96827047176754</v>
      </c>
      <c r="V28" s="49">
        <f t="shared" si="14"/>
        <v>0</v>
      </c>
      <c r="W28" s="54">
        <v>0.66666666666666663</v>
      </c>
      <c r="X28" s="13">
        <f t="shared" si="15"/>
        <v>1248351.1151288066</v>
      </c>
      <c r="Y28" s="25">
        <f t="shared" si="15"/>
        <v>146.81507326759709</v>
      </c>
    </row>
    <row r="29" spans="1:25" x14ac:dyDescent="0.2">
      <c r="A29" s="10">
        <v>26</v>
      </c>
      <c r="B29" s="15">
        <f t="shared" si="13"/>
        <v>469.18299326642261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SUM(pHealthyStage1*C28,(1-SUM(pStage1Remission,pStage1Stage2))*F28,pStage2Stage1*I28,pRemissionStage1_trtA*O28)*(1-'Life Table - Female'!B83)</f>
        <v>34.944234560121131</v>
      </c>
      <c r="G29" s="19">
        <f t="shared" si="3"/>
        <v>34567.375615792072</v>
      </c>
      <c r="H29" s="20">
        <f t="shared" si="4"/>
        <v>19.012056588685642</v>
      </c>
      <c r="I29" s="27">
        <f>SUM(pHealthyStage2*C28,pStage1Stage2*F28,(1-SUM(pStage2Remission, pStage2Stage1, pStage2Stage3))*I28,pStage3Stage2*L28,pRemissionStage2_trtA*O28)*(1-'Life Table - Female'!B83)</f>
        <v>23.100509241906959</v>
      </c>
      <c r="J29" s="19">
        <f t="shared" si="5"/>
        <v>102831.20963152032</v>
      </c>
      <c r="K29" s="20">
        <f t="shared" si="6"/>
        <v>10.140299838663809</v>
      </c>
      <c r="L29" s="27">
        <f>SUM(pHealthyStage3*C28,pStage2Stage3*I28,(1-SUM(pStage3Death, pStage3Stage2))*L28)*(1-'Life Table - Female'!B83)</f>
        <v>9.0273098487333634</v>
      </c>
      <c r="M29" s="19">
        <f t="shared" si="7"/>
        <v>129484.33430883089</v>
      </c>
      <c r="N29" s="20">
        <f t="shared" si="8"/>
        <v>2.0092396703094448</v>
      </c>
      <c r="O29" s="27">
        <f>SUM(pStage1Remission*F28,pStage2Remission*I28,(1-SUM(pRemissionStage1_trtA, pRemissionStage2_trtA))*O28)*(1-'Life Table - Female'!B83)</f>
        <v>330.14554907114552</v>
      </c>
      <c r="P29" s="19">
        <f t="shared" si="9"/>
        <v>2061568.2386066134</v>
      </c>
      <c r="Q29" s="20">
        <f t="shared" si="10"/>
        <v>193.90988382933494</v>
      </c>
      <c r="R29" s="27">
        <f>SUM(pStage3Death*L28*(1-'Life Table - Female'!B83),R28)</f>
        <v>221.05062193156331</v>
      </c>
      <c r="S29" s="19">
        <f t="shared" si="11"/>
        <v>0</v>
      </c>
      <c r="T29" s="23">
        <f t="shared" si="12"/>
        <v>0</v>
      </c>
      <c r="U29" s="181">
        <f>SUM(B28*'Life Table - Female'!B83,U28)</f>
        <v>309.76638480201456</v>
      </c>
      <c r="V29" s="49">
        <f t="shared" si="14"/>
        <v>0</v>
      </c>
      <c r="W29" s="54">
        <v>1.3333333333333333</v>
      </c>
      <c r="X29" s="13">
        <f t="shared" si="15"/>
        <v>2328451.1581627568</v>
      </c>
      <c r="Y29" s="25">
        <f t="shared" si="15"/>
        <v>269.56477613172012</v>
      </c>
    </row>
    <row r="30" spans="1:25" x14ac:dyDescent="0.2">
      <c r="A30" s="10">
        <v>27</v>
      </c>
      <c r="B30" s="15">
        <f t="shared" si="13"/>
        <v>441.35107236475193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SUM(pHealthyStage1*C29,(1-SUM(pStage1Remission,pStage1Stage2))*F29,pStage2Stage1*I29,pRemissionStage1_trtA*O29)*(1-'Life Table - Female'!B84)</f>
        <v>32.328839732712098</v>
      </c>
      <c r="G30" s="19">
        <f t="shared" si="3"/>
        <v>15524.362488816083</v>
      </c>
      <c r="H30" s="20">
        <f t="shared" si="4"/>
        <v>8.5383993688488466</v>
      </c>
      <c r="I30" s="27">
        <f>SUM(pHealthyStage2*C29,pStage1Stage2*F29,(1-SUM(pStage2Remission, pStage2Stage1, pStage2Stage3))*I29,pStage3Stage2*L29,pRemissionStage2_trtA*O29)*(1-'Life Table - Female'!B84)</f>
        <v>21.394618180457787</v>
      </c>
      <c r="J30" s="19">
        <f t="shared" si="5"/>
        <v>46231.79019419766</v>
      </c>
      <c r="K30" s="20">
        <f t="shared" si="6"/>
        <v>4.5589681997056015</v>
      </c>
      <c r="L30" s="27">
        <f>SUM(pHealthyStage3*C29,pStage2Stage3*I29,(1-SUM(pStage3Death, pStage3Stage2))*L29)*(1-'Life Table - Female'!B84)</f>
        <v>8.2538610113829307</v>
      </c>
      <c r="M30" s="19">
        <f t="shared" si="7"/>
        <v>57471.007444746516</v>
      </c>
      <c r="N30" s="20">
        <f t="shared" si="8"/>
        <v>0.8917914948322736</v>
      </c>
      <c r="O30" s="27">
        <f>SUM(pStage1Remission*F29,pStage2Remission*I29,(1-SUM(pRemissionStage1_trtA, pRemissionStage2_trtA))*O29)*(1-'Life Table - Female'!B84)</f>
        <v>316.54911057680494</v>
      </c>
      <c r="P30" s="19">
        <f t="shared" si="9"/>
        <v>959546.76430621813</v>
      </c>
      <c r="Q30" s="20">
        <f t="shared" si="10"/>
        <v>90.254398622862112</v>
      </c>
      <c r="R30" s="27">
        <f>SUM(pStage3Death*L29*(1-'Life Table - Female'!B84),R29)</f>
        <v>224.90531122459527</v>
      </c>
      <c r="S30" s="19">
        <f t="shared" si="11"/>
        <v>0</v>
      </c>
      <c r="T30" s="23">
        <f t="shared" si="12"/>
        <v>0</v>
      </c>
      <c r="U30" s="181">
        <f>SUM(B29*'Life Table - Female'!B84,U29)</f>
        <v>333.74361641065326</v>
      </c>
      <c r="V30" s="49">
        <f t="shared" si="14"/>
        <v>0</v>
      </c>
      <c r="W30" s="54">
        <v>0.66666666666666663</v>
      </c>
      <c r="X30" s="13">
        <f t="shared" si="15"/>
        <v>1078773.9244339783</v>
      </c>
      <c r="Y30" s="25">
        <f t="shared" si="15"/>
        <v>123.09886878590123</v>
      </c>
    </row>
    <row r="31" spans="1:25" x14ac:dyDescent="0.2">
      <c r="A31" s="10">
        <v>28</v>
      </c>
      <c r="B31" s="15">
        <f t="shared" si="13"/>
        <v>412.64293697101073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SUM(pHealthyStage1*C30,(1-SUM(pStage1Remission,pStage1Stage2))*F30,pStage2Stage1*I30,pRemissionStage1_trtA*O30)*(1-'Life Table - Female'!B85)</f>
        <v>29.753512526460234</v>
      </c>
      <c r="G31" s="19">
        <f t="shared" si="3"/>
        <v>27743.079787692426</v>
      </c>
      <c r="H31" s="20">
        <f t="shared" si="4"/>
        <v>15.258693883230833</v>
      </c>
      <c r="I31" s="27">
        <f>SUM(pHealthyStage2*C30,pStage1Stage2*F30,(1-SUM(pStage2Remission, pStage2Stage1, pStage2Stage3))*I30,pStage3Stage2*L30,pRemissionStage2_trtA*O30)*(1-'Life Table - Female'!B85)</f>
        <v>19.710463609428832</v>
      </c>
      <c r="J31" s="19">
        <f t="shared" si="5"/>
        <v>82703.860203772623</v>
      </c>
      <c r="K31" s="20">
        <f t="shared" si="6"/>
        <v>8.1555195478720215</v>
      </c>
      <c r="L31" s="27">
        <f>SUM(pHealthyStage3*C30,pStage2Stage3*I30,(1-SUM(pStage3Death, pStage3Stage2))*L30)*(1-'Life Table - Female'!B85)</f>
        <v>7.5095161696777728</v>
      </c>
      <c r="M31" s="19">
        <f t="shared" si="7"/>
        <v>101530.46764200914</v>
      </c>
      <c r="N31" s="20">
        <f t="shared" si="8"/>
        <v>1.5754727737553145</v>
      </c>
      <c r="O31" s="27">
        <f>SUM(pStage1Remission*F30,pStage2Remission*I30,(1-SUM(pRemissionStage1_trtA, pRemissionStage2_trtA))*O30)*(1-'Life Table - Female'!B85)</f>
        <v>301.1717158839844</v>
      </c>
      <c r="P31" s="19">
        <f t="shared" si="9"/>
        <v>1772686.7637678823</v>
      </c>
      <c r="Q31" s="20">
        <f t="shared" si="10"/>
        <v>166.73786391876121</v>
      </c>
      <c r="R31" s="27">
        <f>SUM(pStage3Death*L30*(1-'Life Table - Female'!B85),R30)</f>
        <v>228.40742468907521</v>
      </c>
      <c r="S31" s="19">
        <f t="shared" si="11"/>
        <v>0</v>
      </c>
      <c r="T31" s="23">
        <f t="shared" si="12"/>
        <v>0</v>
      </c>
      <c r="U31" s="181">
        <f>SUM(B30*'Life Table - Female'!B85,U30)</f>
        <v>358.94963833991449</v>
      </c>
      <c r="V31" s="49">
        <f t="shared" si="14"/>
        <v>0</v>
      </c>
      <c r="W31" s="54">
        <v>1.3333333333333333</v>
      </c>
      <c r="X31" s="13">
        <f t="shared" si="15"/>
        <v>1984664.1714013563</v>
      </c>
      <c r="Y31" s="25">
        <f t="shared" si="15"/>
        <v>223.4871372582364</v>
      </c>
    </row>
    <row r="32" spans="1:25" x14ac:dyDescent="0.2">
      <c r="A32" s="10">
        <v>29</v>
      </c>
      <c r="B32" s="15">
        <f t="shared" si="13"/>
        <v>383.00406496899291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SUM(pHealthyStage1*C31,(1-SUM(pStage1Remission,pStage1Stage2))*F31,pStage2Stage1*I31,pRemissionStage1_trtA*O31)*(1-'Life Table - Female'!B86)</f>
        <v>27.208175529585098</v>
      </c>
      <c r="G32" s="19">
        <f t="shared" si="3"/>
        <v>12315.402998226102</v>
      </c>
      <c r="H32" s="20">
        <f t="shared" si="4"/>
        <v>6.7734716490243567</v>
      </c>
      <c r="I32" s="27">
        <f>SUM(pHealthyStage2*C31,pStage1Stage2*F31,(1-SUM(pStage2Remission, pStage2Stage1, pStage2Stage3))*I31,pStage3Stage2*L31,pRemissionStage2_trtA*O31)*(1-'Life Table - Female'!B86)</f>
        <v>18.041792519545055</v>
      </c>
      <c r="J32" s="19">
        <f t="shared" si="5"/>
        <v>36748.651320313285</v>
      </c>
      <c r="K32" s="20">
        <f t="shared" si="6"/>
        <v>3.6238253385308932</v>
      </c>
      <c r="L32" s="27">
        <f>SUM(pHealthyStage3*C31,pStage2Stage3*I31,(1-SUM(pStage3Death, pStage3Stage2))*L31)*(1-'Life Table - Female'!B86)</f>
        <v>6.7907185181541614</v>
      </c>
      <c r="M32" s="19">
        <f t="shared" si="7"/>
        <v>44569.00496914643</v>
      </c>
      <c r="N32" s="20">
        <f t="shared" si="8"/>
        <v>0.69158800814192734</v>
      </c>
      <c r="O32" s="27">
        <f>SUM(pStage1Remission*F31,pStage2Remission*I31,(1-SUM(pRemissionStage1_trtA, pRemissionStage2_trtA))*O31)*(1-'Life Table - Female'!B86)</f>
        <v>284.04246738943323</v>
      </c>
      <c r="P32" s="19">
        <f t="shared" si="9"/>
        <v>811584.74435715773</v>
      </c>
      <c r="Q32" s="20">
        <f t="shared" si="10"/>
        <v>76.337178924683158</v>
      </c>
      <c r="R32" s="27">
        <f>SUM(pStage3Death*L31*(1-'Life Table - Female'!B86),R31)</f>
        <v>231.56988202843331</v>
      </c>
      <c r="S32" s="19">
        <f t="shared" si="11"/>
        <v>0</v>
      </c>
      <c r="T32" s="23">
        <f t="shared" si="12"/>
        <v>0</v>
      </c>
      <c r="U32" s="240">
        <f>SUM(B31*'Life Table - Female'!B86,U31)</f>
        <v>385.42605300257418</v>
      </c>
      <c r="V32" s="49">
        <f t="shared" si="14"/>
        <v>0</v>
      </c>
      <c r="W32" s="54">
        <v>0.66666666666666663</v>
      </c>
      <c r="X32" s="13">
        <f t="shared" si="15"/>
        <v>905217.80364484352</v>
      </c>
      <c r="Y32" s="25">
        <f t="shared" si="15"/>
        <v>100.699875856331</v>
      </c>
    </row>
    <row r="33" spans="1:25" ht="16" thickBot="1" x14ac:dyDescent="0.25">
      <c r="A33" s="11">
        <v>30</v>
      </c>
      <c r="B33" s="166">
        <f t="shared" si="13"/>
        <v>352.45793504023521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SUM(pHealthyStage1*C32,(1-SUM(pStage1Remission,pStage1Stage2))*F32,pStage2Stage1*I32,pRemissionStage1_trtA*O32)*(1-'Life Table - Female'!B87)</f>
        <v>24.688680472037827</v>
      </c>
      <c r="G33" s="21">
        <f t="shared" si="3"/>
        <v>5424.7517143458745</v>
      </c>
      <c r="H33" s="22">
        <f t="shared" si="4"/>
        <v>2.9836134428902308</v>
      </c>
      <c r="I33" s="28">
        <f>SUM(pHealthyStage2*C32,pStage1Stage2*F32,(1-SUM(pStage2Remission, pStage2Stage1, pStage2Stage3))*I32,pStage3Stage2*L32,pRemissionStage2_trtA*O32)*(1-'Life Table - Female'!B87)</f>
        <v>16.3862129369973</v>
      </c>
      <c r="J33" s="21">
        <f t="shared" si="5"/>
        <v>16202.166644762758</v>
      </c>
      <c r="K33" s="22">
        <f t="shared" si="6"/>
        <v>1.5977136552474385</v>
      </c>
      <c r="L33" s="28">
        <f>SUM(pHealthyStage3*C32,pStage2Stage3*I32,(1-SUM(pStage3Death, pStage3Stage2))*L32)*(1-'Life Table - Female'!B87)</f>
        <v>6.0954189908563201</v>
      </c>
      <c r="M33" s="21">
        <f t="shared" si="7"/>
        <v>19420.193498694349</v>
      </c>
      <c r="N33" s="22">
        <f t="shared" si="8"/>
        <v>0.30134783015215377</v>
      </c>
      <c r="O33" s="28">
        <f>SUM(pStage1Remission*F32,pStage2Remission*I32,(1-SUM(pRemissionStage1_trtA, pRemissionStage2_trtA))*O32)*(1-'Life Table - Female'!B87)</f>
        <v>265.24365363119432</v>
      </c>
      <c r="P33" s="21">
        <f t="shared" si="9"/>
        <v>367898.80691697373</v>
      </c>
      <c r="Q33" s="22">
        <f t="shared" si="10"/>
        <v>34.604343224863861</v>
      </c>
      <c r="R33" s="28">
        <f>SUM(pStage3Death*L32*(1-'Life Table - Female'!B87),R32)</f>
        <v>234.40460808801325</v>
      </c>
      <c r="S33" s="21">
        <f t="shared" si="11"/>
        <v>0</v>
      </c>
      <c r="T33" s="24">
        <f t="shared" si="12"/>
        <v>0</v>
      </c>
      <c r="U33" s="239">
        <f>SUM(B32*'Life Table - Female'!B87,U32)</f>
        <v>413.13745687175197</v>
      </c>
      <c r="V33" s="49">
        <f t="shared" si="14"/>
        <v>0</v>
      </c>
      <c r="W33" s="54">
        <v>0.33333333333333331</v>
      </c>
      <c r="X33" s="13">
        <f t="shared" si="15"/>
        <v>408945.91877477674</v>
      </c>
      <c r="Y33" s="25">
        <f t="shared" si="15"/>
        <v>44.98621316323198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63355853.597738579</v>
      </c>
      <c r="Y34" s="31">
        <f>SUM(Y3:Y33)</f>
        <v>13941.362638497525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X113"/>
  <sheetViews>
    <sheetView workbookViewId="0">
      <selection activeCell="P26" sqref="P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4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SUM(pHealthyStage1*C3,(1-SUM(pStage1Remission,pStage1Stage2))*F3,pStage2Stage1*I3,pRemissionStage1_trtA*O3)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pStage2Stage3))*I3,pStage3Stage2*L3,pRemissionStage2_trtA*O3)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SUM(pStage1Remission*F3,pStage2Remission*I3,(1-SUM(pRemissionStage1_trtA, pRemissionStage2_trtA))*O3)</f>
        <v>0</v>
      </c>
      <c r="P4" s="19">
        <f t="shared" ref="P4:P33" si="13">O4*SUM(nVisitsRemission*cVisit, cTrtA)*V4/(1+discount_rate)^A4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209444.81100952023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1195676.62676344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96.12</v>
      </c>
      <c r="G6" s="19">
        <f t="shared" si="4"/>
        <v>93827.644050160743</v>
      </c>
      <c r="H6" s="20">
        <f t="shared" si="5"/>
        <v>51.605204227588409</v>
      </c>
      <c r="I6" s="27">
        <f t="shared" si="6"/>
        <v>47.443000000000005</v>
      </c>
      <c r="J6" s="19">
        <f t="shared" si="7"/>
        <v>208401.91557452138</v>
      </c>
      <c r="K6" s="20">
        <f t="shared" si="8"/>
        <v>20.550744452487521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43.06</v>
      </c>
      <c r="P6" s="19">
        <f t="shared" si="13"/>
        <v>265333.73233509681</v>
      </c>
      <c r="Q6" s="20">
        <f t="shared" si="14"/>
        <v>24.957133239439798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885310.72567378066</v>
      </c>
      <c r="X6" s="25">
        <f t="shared" si="19"/>
        <v>577.11686450504112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104.64575000000002</v>
      </c>
      <c r="G7" s="19">
        <f t="shared" si="4"/>
        <v>198349.63945476955</v>
      </c>
      <c r="H7" s="20">
        <f t="shared" si="5"/>
        <v>109.09230170012326</v>
      </c>
      <c r="I7" s="27">
        <f t="shared" si="6"/>
        <v>55.204610000000002</v>
      </c>
      <c r="J7" s="19">
        <f t="shared" si="7"/>
        <v>470866.37731427449</v>
      </c>
      <c r="K7" s="20">
        <f t="shared" si="8"/>
        <v>46.432656651824288</v>
      </c>
      <c r="L7" s="27">
        <f t="shared" si="9"/>
        <v>26.127830000000003</v>
      </c>
      <c r="M7" s="19">
        <f t="shared" si="10"/>
        <v>718093.77899642277</v>
      </c>
      <c r="N7" s="20">
        <f t="shared" si="11"/>
        <v>11.142834501668629</v>
      </c>
      <c r="O7" s="27">
        <f t="shared" si="12"/>
        <v>75.286799999999999</v>
      </c>
      <c r="P7" s="19">
        <f t="shared" si="13"/>
        <v>900803.46861078776</v>
      </c>
      <c r="Q7" s="20">
        <f t="shared" si="14"/>
        <v>84.729039126757257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2288113.2643762548</v>
      </c>
      <c r="X7" s="25">
        <f t="shared" si="19"/>
        <v>1100.0713202176833</v>
      </c>
    </row>
    <row r="8" spans="1:24" x14ac:dyDescent="0.2">
      <c r="A8" s="10">
        <v>5</v>
      </c>
      <c r="B8" s="15">
        <f t="shared" si="20"/>
        <v>977.65795000000014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108.10535200000002</v>
      </c>
      <c r="G8" s="19">
        <f t="shared" si="4"/>
        <v>99469.468025751645</v>
      </c>
      <c r="H8" s="20">
        <f t="shared" si="5"/>
        <v>54.708207414163418</v>
      </c>
      <c r="I8" s="27">
        <f t="shared" si="6"/>
        <v>59.974459700000004</v>
      </c>
      <c r="J8" s="19">
        <f t="shared" si="7"/>
        <v>248325.57972438741</v>
      </c>
      <c r="K8" s="20">
        <f t="shared" si="8"/>
        <v>24.487661333932643</v>
      </c>
      <c r="L8" s="27">
        <f t="shared" si="9"/>
        <v>28.508536100000001</v>
      </c>
      <c r="M8" s="19">
        <f t="shared" si="10"/>
        <v>380351.8380927993</v>
      </c>
      <c r="N8" s="20">
        <f t="shared" si="11"/>
        <v>5.902011280750334</v>
      </c>
      <c r="O8" s="27">
        <f t="shared" si="12"/>
        <v>110.23055550000001</v>
      </c>
      <c r="P8" s="19">
        <f t="shared" si="13"/>
        <v>640244.69291109731</v>
      </c>
      <c r="Q8" s="20">
        <f t="shared" si="14"/>
        <v>60.221035471835876</v>
      </c>
      <c r="R8" s="27">
        <f t="shared" si="15"/>
        <v>34.099573500000005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1368391.5787540358</v>
      </c>
      <c r="X8" s="25">
        <f t="shared" si="19"/>
        <v>524.33858985909251</v>
      </c>
    </row>
    <row r="9" spans="1:24" x14ac:dyDescent="0.2">
      <c r="A9" s="10">
        <v>6</v>
      </c>
      <c r="B9" s="15">
        <f t="shared" si="20"/>
        <v>965.90042650000021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108.42588905500003</v>
      </c>
      <c r="G9" s="19">
        <f t="shared" si="4"/>
        <v>193717.28021438097</v>
      </c>
      <c r="H9" s="20">
        <f t="shared" si="5"/>
        <v>106.54450411790954</v>
      </c>
      <c r="I9" s="27">
        <f t="shared" si="6"/>
        <v>62.504573844000006</v>
      </c>
      <c r="J9" s="19">
        <f t="shared" si="7"/>
        <v>502527.32702468097</v>
      </c>
      <c r="K9" s="20">
        <f t="shared" si="8"/>
        <v>49.554778081600482</v>
      </c>
      <c r="L9" s="27">
        <f t="shared" si="9"/>
        <v>29.841252237000003</v>
      </c>
      <c r="M9" s="19">
        <f t="shared" si="10"/>
        <v>773072.84213140071</v>
      </c>
      <c r="N9" s="20">
        <f t="shared" si="11"/>
        <v>11.995957895142423</v>
      </c>
      <c r="O9" s="27">
        <f t="shared" si="12"/>
        <v>145.94486877500003</v>
      </c>
      <c r="P9" s="19">
        <f t="shared" si="13"/>
        <v>1645983.9365633684</v>
      </c>
      <c r="Q9" s="20">
        <f t="shared" si="14"/>
        <v>154.82027126091089</v>
      </c>
      <c r="R9" s="27">
        <f t="shared" si="15"/>
        <v>46.928414745000005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3115301.3859338313</v>
      </c>
      <c r="X9" s="25">
        <f t="shared" si="19"/>
        <v>999.99920147155831</v>
      </c>
    </row>
    <row r="10" spans="1:24" x14ac:dyDescent="0.2">
      <c r="A10" s="10">
        <v>7</v>
      </c>
      <c r="B10" s="15">
        <f t="shared" si="20"/>
        <v>953.07158525500017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106.83870402065003</v>
      </c>
      <c r="G10" s="19">
        <f t="shared" si="4"/>
        <v>92660.952876923271</v>
      </c>
      <c r="H10" s="20">
        <f t="shared" si="5"/>
        <v>50.963524082307806</v>
      </c>
      <c r="I10" s="27">
        <f t="shared" si="6"/>
        <v>63.423944538380013</v>
      </c>
      <c r="J10" s="19">
        <f t="shared" si="7"/>
        <v>247533.46041632854</v>
      </c>
      <c r="K10" s="20">
        <f t="shared" si="8"/>
        <v>24.409549568832396</v>
      </c>
      <c r="L10" s="27">
        <f t="shared" si="9"/>
        <v>30.359862208540001</v>
      </c>
      <c r="M10" s="19">
        <f t="shared" si="10"/>
        <v>381800.0219585147</v>
      </c>
      <c r="N10" s="20">
        <f t="shared" si="11"/>
        <v>5.9244830993562623</v>
      </c>
      <c r="O10" s="27">
        <f t="shared" si="12"/>
        <v>181.17390974430003</v>
      </c>
      <c r="P10" s="19">
        <f t="shared" si="13"/>
        <v>991893.85180584702</v>
      </c>
      <c r="Q10" s="20">
        <f t="shared" si="14"/>
        <v>93.296946456985609</v>
      </c>
      <c r="R10" s="27">
        <f t="shared" si="15"/>
        <v>60.356978251650006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1713888.2870576135</v>
      </c>
      <c r="X10" s="25">
        <f t="shared" si="19"/>
        <v>476.98139393889733</v>
      </c>
    </row>
    <row r="11" spans="1:24" x14ac:dyDescent="0.2">
      <c r="A11" s="10">
        <v>8</v>
      </c>
      <c r="B11" s="15">
        <f t="shared" si="20"/>
        <v>939.64302174835029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104.13216309705155</v>
      </c>
      <c r="G11" s="19">
        <f t="shared" si="4"/>
        <v>175366.16776084763</v>
      </c>
      <c r="H11" s="20">
        <f t="shared" si="5"/>
        <v>96.451392268466208</v>
      </c>
      <c r="I11" s="27">
        <f t="shared" si="6"/>
        <v>63.224901357692616</v>
      </c>
      <c r="J11" s="19">
        <f t="shared" si="7"/>
        <v>479139.08131536236</v>
      </c>
      <c r="K11" s="20">
        <f t="shared" si="8"/>
        <v>47.248437185264898</v>
      </c>
      <c r="L11" s="27">
        <f t="shared" si="9"/>
        <v>30.271988797391803</v>
      </c>
      <c r="M11" s="19">
        <f t="shared" si="10"/>
        <v>739213.47992913495</v>
      </c>
      <c r="N11" s="20">
        <f t="shared" si="11"/>
        <v>11.470553998900369</v>
      </c>
      <c r="O11" s="27">
        <f t="shared" si="12"/>
        <v>215.13315736480953</v>
      </c>
      <c r="P11" s="19">
        <f t="shared" si="13"/>
        <v>2287018.4272160353</v>
      </c>
      <c r="Q11" s="20">
        <f t="shared" si="14"/>
        <v>215.11559463913204</v>
      </c>
      <c r="R11" s="27">
        <f t="shared" si="15"/>
        <v>74.018916245493003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3680737.1562213805</v>
      </c>
      <c r="X11" s="25">
        <f t="shared" si="19"/>
        <v>910.47226833040827</v>
      </c>
    </row>
    <row r="12" spans="1:24" x14ac:dyDescent="0.2">
      <c r="A12" s="10">
        <v>9</v>
      </c>
      <c r="B12" s="15">
        <f t="shared" si="20"/>
        <v>925.98108375450727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100.81075788514242</v>
      </c>
      <c r="G12" s="19">
        <f t="shared" si="4"/>
        <v>82413.921752976414</v>
      </c>
      <c r="H12" s="20">
        <f t="shared" si="5"/>
        <v>45.32765696413702</v>
      </c>
      <c r="I12" s="27">
        <f t="shared" si="6"/>
        <v>62.277465600589636</v>
      </c>
      <c r="J12" s="19">
        <f t="shared" si="7"/>
        <v>229106.3600843834</v>
      </c>
      <c r="K12" s="20">
        <f t="shared" si="8"/>
        <v>22.592432730543361</v>
      </c>
      <c r="L12" s="27">
        <f t="shared" si="9"/>
        <v>29.751918333725413</v>
      </c>
      <c r="M12" s="19">
        <f t="shared" si="10"/>
        <v>352676.62553512538</v>
      </c>
      <c r="N12" s="20">
        <f t="shared" si="11"/>
        <v>5.4725683272691867</v>
      </c>
      <c r="O12" s="27">
        <f t="shared" si="12"/>
        <v>247.35718368966667</v>
      </c>
      <c r="P12" s="19">
        <f t="shared" si="13"/>
        <v>1276496.4752640545</v>
      </c>
      <c r="Q12" s="20">
        <f t="shared" si="14"/>
        <v>120.06650014859918</v>
      </c>
      <c r="R12" s="27">
        <f t="shared" si="15"/>
        <v>87.641311204319308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1940693.3826365396</v>
      </c>
      <c r="X12" s="25">
        <f t="shared" si="19"/>
        <v>434.70740429654541</v>
      </c>
    </row>
    <row r="13" spans="1:24" x14ac:dyDescent="0.2">
      <c r="A13" s="10">
        <v>10</v>
      </c>
      <c r="B13" s="15">
        <f t="shared" si="20"/>
        <v>912.35868879568102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97.196077743493234</v>
      </c>
      <c r="G13" s="19">
        <f t="shared" si="4"/>
        <v>154289.08800162634</v>
      </c>
      <c r="H13" s="20">
        <f t="shared" si="5"/>
        <v>84.858998400894478</v>
      </c>
      <c r="I13" s="27">
        <f t="shared" si="6"/>
        <v>60.8519501681821</v>
      </c>
      <c r="J13" s="19">
        <f t="shared" si="7"/>
        <v>434683.83196553326</v>
      </c>
      <c r="K13" s="20">
        <f t="shared" si="8"/>
        <v>42.864655652156756</v>
      </c>
      <c r="L13" s="27">
        <f t="shared" si="9"/>
        <v>28.939192639816721</v>
      </c>
      <c r="M13" s="19">
        <f t="shared" si="10"/>
        <v>666102.22636164248</v>
      </c>
      <c r="N13" s="20">
        <f t="shared" si="11"/>
        <v>10.336069029749623</v>
      </c>
      <c r="O13" s="27">
        <f t="shared" si="12"/>
        <v>277.59465077038021</v>
      </c>
      <c r="P13" s="19">
        <f t="shared" si="13"/>
        <v>2781627.404674435</v>
      </c>
      <c r="Q13" s="20">
        <f t="shared" si="14"/>
        <v>261.63822123175379</v>
      </c>
      <c r="R13" s="27">
        <f t="shared" si="15"/>
        <v>101.02967445449575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4036702.5510032373</v>
      </c>
      <c r="X13" s="25">
        <f t="shared" si="19"/>
        <v>830.66568496682066</v>
      </c>
    </row>
    <row r="14" spans="1:24" x14ac:dyDescent="0.2">
      <c r="A14" s="10">
        <v>11</v>
      </c>
      <c r="B14" s="15">
        <f t="shared" si="20"/>
        <v>898.97032554550458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93.491363768268926</v>
      </c>
      <c r="G14" s="19">
        <f t="shared" si="4"/>
        <v>72042.827055394257</v>
      </c>
      <c r="H14" s="20">
        <f t="shared" si="5"/>
        <v>39.623554880466834</v>
      </c>
      <c r="I14" s="27">
        <f t="shared" si="6"/>
        <v>59.141453099425867</v>
      </c>
      <c r="J14" s="19">
        <f t="shared" si="7"/>
        <v>205080.2114303667</v>
      </c>
      <c r="K14" s="20">
        <f t="shared" si="8"/>
        <v>20.223187516050046</v>
      </c>
      <c r="L14" s="27">
        <f t="shared" si="9"/>
        <v>27.941273387372</v>
      </c>
      <c r="M14" s="19">
        <f t="shared" si="10"/>
        <v>312200.39536997804</v>
      </c>
      <c r="N14" s="20">
        <f t="shared" si="11"/>
        <v>4.8444888936720725</v>
      </c>
      <c r="O14" s="27">
        <f t="shared" si="12"/>
        <v>305.73622071677852</v>
      </c>
      <c r="P14" s="19">
        <f t="shared" si="13"/>
        <v>1487193.6958761537</v>
      </c>
      <c r="Q14" s="20">
        <f t="shared" si="14"/>
        <v>139.88455555270752</v>
      </c>
      <c r="R14" s="27">
        <f t="shared" si="15"/>
        <v>114.05231114241327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2076517.1297318926</v>
      </c>
      <c r="X14" s="25">
        <f t="shared" si="19"/>
        <v>397.04681664876284</v>
      </c>
    </row>
    <row r="15" spans="1:24" x14ac:dyDescent="0.2">
      <c r="A15" s="10">
        <v>12</v>
      </c>
      <c r="B15" s="15">
        <f t="shared" si="20"/>
        <v>885.94768885758708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89.823052412968764</v>
      </c>
      <c r="G15" s="19">
        <f t="shared" si="4"/>
        <v>134400.17437861371</v>
      </c>
      <c r="H15" s="20">
        <f t="shared" si="5"/>
        <v>73.920095908237556</v>
      </c>
      <c r="I15" s="27">
        <f t="shared" si="6"/>
        <v>57.281181670733631</v>
      </c>
      <c r="J15" s="19">
        <f t="shared" si="7"/>
        <v>385688.3360402984</v>
      </c>
      <c r="K15" s="20">
        <f t="shared" si="8"/>
        <v>38.033155359529424</v>
      </c>
      <c r="L15" s="27">
        <f t="shared" si="9"/>
        <v>26.838228437457296</v>
      </c>
      <c r="M15" s="19">
        <f t="shared" si="10"/>
        <v>582282.67726464837</v>
      </c>
      <c r="N15" s="20">
        <f t="shared" si="11"/>
        <v>9.0354208541066132</v>
      </c>
      <c r="O15" s="27">
        <f t="shared" si="12"/>
        <v>331.76526565722759</v>
      </c>
      <c r="P15" s="19">
        <f t="shared" si="13"/>
        <v>3133605.5613552635</v>
      </c>
      <c r="Q15" s="20">
        <f t="shared" si="14"/>
        <v>294.74507755321781</v>
      </c>
      <c r="R15" s="27">
        <f t="shared" si="15"/>
        <v>126.62588416673067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4235976.7490388239</v>
      </c>
      <c r="X15" s="25">
        <f t="shared" si="19"/>
        <v>759.565492240911</v>
      </c>
    </row>
    <row r="16" spans="1:24" x14ac:dyDescent="0.2">
      <c r="A16" s="10">
        <v>13</v>
      </c>
      <c r="B16" s="15">
        <f t="shared" si="20"/>
        <v>873.37411583326957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86.267667847855051</v>
      </c>
      <c r="G16" s="19">
        <f t="shared" si="4"/>
        <v>62660.356287022165</v>
      </c>
      <c r="H16" s="20">
        <f t="shared" si="5"/>
        <v>34.46319595786219</v>
      </c>
      <c r="I16" s="27">
        <f t="shared" si="6"/>
        <v>55.363906075279843</v>
      </c>
      <c r="J16" s="19">
        <f t="shared" si="7"/>
        <v>180960.60494024758</v>
      </c>
      <c r="K16" s="20">
        <f t="shared" si="8"/>
        <v>17.844726320496637</v>
      </c>
      <c r="L16" s="27">
        <f t="shared" si="9"/>
        <v>25.687955345887517</v>
      </c>
      <c r="M16" s="19">
        <f t="shared" si="10"/>
        <v>270546.76310375665</v>
      </c>
      <c r="N16" s="20">
        <f t="shared" si="11"/>
        <v>4.1981394274720847</v>
      </c>
      <c r="O16" s="27">
        <f t="shared" si="12"/>
        <v>355.72430712489961</v>
      </c>
      <c r="P16" s="19">
        <f t="shared" si="13"/>
        <v>1631021.6869392905</v>
      </c>
      <c r="Q16" s="20">
        <f t="shared" si="14"/>
        <v>153.41293094973526</v>
      </c>
      <c r="R16" s="27">
        <f t="shared" si="15"/>
        <v>138.70308696358646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2145189.4112703167</v>
      </c>
      <c r="X16" s="25">
        <f t="shared" si="19"/>
        <v>363.47491651991277</v>
      </c>
    </row>
    <row r="17" spans="1:24" x14ac:dyDescent="0.2">
      <c r="A17" s="10">
        <v>14</v>
      </c>
      <c r="B17" s="15">
        <f t="shared" si="20"/>
        <v>861.2969130364138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82.869319379492367</v>
      </c>
      <c r="G17" s="19">
        <f t="shared" si="4"/>
        <v>116877.61620875173</v>
      </c>
      <c r="H17" s="20">
        <f t="shared" si="5"/>
        <v>64.282688914813448</v>
      </c>
      <c r="I17" s="27">
        <f t="shared" si="6"/>
        <v>53.451812801346627</v>
      </c>
      <c r="J17" s="19">
        <f t="shared" si="7"/>
        <v>339244.2738840371</v>
      </c>
      <c r="K17" s="20">
        <f t="shared" si="8"/>
        <v>33.453254785786989</v>
      </c>
      <c r="L17" s="27">
        <f t="shared" si="9"/>
        <v>24.531094350660652</v>
      </c>
      <c r="M17" s="19">
        <f t="shared" si="10"/>
        <v>501675.04519649135</v>
      </c>
      <c r="N17" s="20">
        <f t="shared" si="11"/>
        <v>7.7846127702903809</v>
      </c>
      <c r="O17" s="27">
        <f t="shared" si="12"/>
        <v>377.69227608817238</v>
      </c>
      <c r="P17" s="19">
        <f t="shared" si="13"/>
        <v>3362614.3964063087</v>
      </c>
      <c r="Q17" s="20">
        <f t="shared" si="14"/>
        <v>316.28551253326674</v>
      </c>
      <c r="R17" s="27">
        <f t="shared" si="15"/>
        <v>150.26266686923583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4320411.3316955892</v>
      </c>
      <c r="X17" s="25">
        <f t="shared" si="19"/>
        <v>696.11956406279614</v>
      </c>
    </row>
    <row r="18" spans="1:24" x14ac:dyDescent="0.2">
      <c r="A18" s="10">
        <v>15</v>
      </c>
      <c r="B18" s="15">
        <f t="shared" si="20"/>
        <v>849.73733313076445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79.651135284055442</v>
      </c>
      <c r="G18" s="19">
        <f t="shared" si="4"/>
        <v>54533.368326168784</v>
      </c>
      <c r="H18" s="20">
        <f t="shared" si="5"/>
        <v>29.993352579392834</v>
      </c>
      <c r="I18" s="27">
        <f t="shared" si="6"/>
        <v>51.585353707393828</v>
      </c>
      <c r="J18" s="19">
        <f t="shared" si="7"/>
        <v>158931.24282132622</v>
      </c>
      <c r="K18" s="20">
        <f t="shared" si="8"/>
        <v>15.672386444880775</v>
      </c>
      <c r="L18" s="27">
        <f t="shared" si="9"/>
        <v>23.395247400643246</v>
      </c>
      <c r="M18" s="19">
        <f t="shared" si="10"/>
        <v>232255.49473906201</v>
      </c>
      <c r="N18" s="20">
        <f t="shared" si="11"/>
        <v>3.6039645735371688</v>
      </c>
      <c r="O18" s="27">
        <f t="shared" si="12"/>
        <v>397.76920021066962</v>
      </c>
      <c r="P18" s="19">
        <f t="shared" si="13"/>
        <v>1719106.9506418121</v>
      </c>
      <c r="Q18" s="20">
        <f t="shared" si="14"/>
        <v>161.69817852571501</v>
      </c>
      <c r="R18" s="27">
        <f t="shared" si="15"/>
        <v>161.30165932703312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2164827.056528369</v>
      </c>
      <c r="X18" s="25">
        <f t="shared" si="19"/>
        <v>333.47682166427694</v>
      </c>
    </row>
    <row r="19" spans="1:24" x14ac:dyDescent="0.2">
      <c r="A19" s="10">
        <v>16</v>
      </c>
      <c r="B19" s="15">
        <f t="shared" si="20"/>
        <v>838.69834067296733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76.622759827729368</v>
      </c>
      <c r="G19" s="19">
        <f t="shared" si="4"/>
        <v>101864.04419508064</v>
      </c>
      <c r="H19" s="20">
        <f t="shared" si="5"/>
        <v>56.025224307294351</v>
      </c>
      <c r="I19" s="27">
        <f t="shared" si="6"/>
        <v>49.789728206384794</v>
      </c>
      <c r="J19" s="19">
        <f t="shared" si="7"/>
        <v>297862.20029735233</v>
      </c>
      <c r="K19" s="20">
        <f t="shared" si="8"/>
        <v>29.372522529322243</v>
      </c>
      <c r="L19" s="27">
        <f t="shared" si="9"/>
        <v>22.29840079713275</v>
      </c>
      <c r="M19" s="19">
        <f t="shared" si="10"/>
        <v>429838.03632354632</v>
      </c>
      <c r="N19" s="20">
        <f t="shared" si="11"/>
        <v>6.6699005636412352</v>
      </c>
      <c r="O19" s="27">
        <f t="shared" si="12"/>
        <v>416.06597876684214</v>
      </c>
      <c r="P19" s="19">
        <f t="shared" si="13"/>
        <v>3491617.9750236217</v>
      </c>
      <c r="Q19" s="20">
        <f t="shared" si="14"/>
        <v>328.41951250222183</v>
      </c>
      <c r="R19" s="27">
        <f t="shared" si="15"/>
        <v>171.82952065732258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4321182.2558396012</v>
      </c>
      <c r="X19" s="25">
        <f t="shared" si="19"/>
        <v>639.33808102382159</v>
      </c>
    </row>
    <row r="20" spans="1:24" x14ac:dyDescent="0.2">
      <c r="A20" s="10">
        <v>17</v>
      </c>
      <c r="B20" s="15">
        <f t="shared" si="20"/>
        <v>828.17047934267771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73.785280460909618</v>
      </c>
      <c r="G20" s="19">
        <f t="shared" si="4"/>
        <v>47617.395349460458</v>
      </c>
      <c r="H20" s="20">
        <f t="shared" si="5"/>
        <v>26.189567442203249</v>
      </c>
      <c r="I20" s="27">
        <f t="shared" si="6"/>
        <v>48.079564969020645</v>
      </c>
      <c r="J20" s="19">
        <f t="shared" si="7"/>
        <v>139626.85207353428</v>
      </c>
      <c r="K20" s="20">
        <f t="shared" si="8"/>
        <v>13.768759023917962</v>
      </c>
      <c r="L20" s="27">
        <f t="shared" si="9"/>
        <v>21.251595746969983</v>
      </c>
      <c r="M20" s="19">
        <f t="shared" si="10"/>
        <v>198863.67087652662</v>
      </c>
      <c r="N20" s="20">
        <f t="shared" si="11"/>
        <v>3.0858155825667923</v>
      </c>
      <c r="O20" s="27">
        <f t="shared" si="12"/>
        <v>432.69763500204613</v>
      </c>
      <c r="P20" s="19">
        <f t="shared" si="13"/>
        <v>1762713.8473794651</v>
      </c>
      <c r="Q20" s="20">
        <f t="shared" si="14"/>
        <v>165.79981732777148</v>
      </c>
      <c r="R20" s="27">
        <f t="shared" si="15"/>
        <v>181.86380101603231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2148821.7656789864</v>
      </c>
      <c r="X20" s="25">
        <f t="shared" si="19"/>
        <v>306.58320570249572</v>
      </c>
    </row>
    <row r="21" spans="1:24" x14ac:dyDescent="0.2">
      <c r="A21" s="10">
        <v>18</v>
      </c>
      <c r="B21" s="15">
        <f t="shared" si="20"/>
        <v>818.13619898396803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71.134469388334296</v>
      </c>
      <c r="G21" s="19">
        <f t="shared" si="4"/>
        <v>89139.207966619928</v>
      </c>
      <c r="H21" s="20">
        <f t="shared" si="5"/>
        <v>49.026564381640974</v>
      </c>
      <c r="I21" s="27">
        <f t="shared" si="6"/>
        <v>46.462265620972737</v>
      </c>
      <c r="J21" s="19">
        <f t="shared" si="7"/>
        <v>262000.16912058991</v>
      </c>
      <c r="K21" s="20">
        <f t="shared" si="8"/>
        <v>25.836127788280393</v>
      </c>
      <c r="L21" s="27">
        <f t="shared" si="9"/>
        <v>20.260953846888306</v>
      </c>
      <c r="M21" s="19">
        <f t="shared" si="10"/>
        <v>368143.01441057335</v>
      </c>
      <c r="N21" s="20">
        <f t="shared" si="11"/>
        <v>5.7125640167157936</v>
      </c>
      <c r="O21" s="27">
        <f t="shared" si="12"/>
        <v>447.77893906101627</v>
      </c>
      <c r="P21" s="19">
        <f t="shared" si="13"/>
        <v>3542042.1806755583</v>
      </c>
      <c r="Q21" s="20">
        <f t="shared" si="14"/>
        <v>333.16238333086926</v>
      </c>
      <c r="R21" s="27">
        <f t="shared" si="15"/>
        <v>191.4270191021688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4261324.5721733412</v>
      </c>
      <c r="X21" s="25">
        <f t="shared" si="19"/>
        <v>588.3397882941149</v>
      </c>
    </row>
    <row r="22" spans="1:24" x14ac:dyDescent="0.2">
      <c r="A22" s="10">
        <v>19</v>
      </c>
      <c r="B22" s="15">
        <f t="shared" si="20"/>
        <v>808.57298089783148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68.662914813717251</v>
      </c>
      <c r="G22" s="19">
        <f t="shared" si="4"/>
        <v>41768.000937003177</v>
      </c>
      <c r="H22" s="20">
        <f t="shared" si="5"/>
        <v>22.972400515351747</v>
      </c>
      <c r="I22" s="27">
        <f t="shared" si="6"/>
        <v>44.940370453984045</v>
      </c>
      <c r="J22" s="19">
        <f t="shared" si="7"/>
        <v>123018.55348636121</v>
      </c>
      <c r="K22" s="20">
        <f t="shared" si="8"/>
        <v>12.13099624657173</v>
      </c>
      <c r="L22" s="27">
        <f t="shared" si="9"/>
        <v>19.329180296396263</v>
      </c>
      <c r="M22" s="19">
        <f t="shared" si="10"/>
        <v>170491.56349340372</v>
      </c>
      <c r="N22" s="20">
        <f t="shared" si="11"/>
        <v>2.6455587438631607</v>
      </c>
      <c r="O22" s="27">
        <f t="shared" si="12"/>
        <v>461.42164136046387</v>
      </c>
      <c r="P22" s="19">
        <f t="shared" si="13"/>
        <v>1771824.9178790725</v>
      </c>
      <c r="Q22" s="20">
        <f t="shared" si="14"/>
        <v>166.6567992064474</v>
      </c>
      <c r="R22" s="27">
        <f t="shared" si="15"/>
        <v>200.54444833326855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2107103.0357958404</v>
      </c>
      <c r="X22" s="25">
        <f t="shared" si="19"/>
        <v>282.38341338916598</v>
      </c>
    </row>
    <row r="23" spans="1:24" x14ac:dyDescent="0.2">
      <c r="A23" s="10">
        <v>20</v>
      </c>
      <c r="B23" s="15">
        <f t="shared" si="20"/>
        <v>799.45555166673171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66.361418215933213</v>
      </c>
      <c r="G23" s="19">
        <f t="shared" si="4"/>
        <v>78384.444329774095</v>
      </c>
      <c r="H23" s="20">
        <f t="shared" si="5"/>
        <v>43.111444381375748</v>
      </c>
      <c r="I23" s="27">
        <f t="shared" si="6"/>
        <v>43.513218077030011</v>
      </c>
      <c r="J23" s="19">
        <f t="shared" si="7"/>
        <v>231285.25282439092</v>
      </c>
      <c r="K23" s="20">
        <f t="shared" si="8"/>
        <v>22.807295764627437</v>
      </c>
      <c r="L23" s="27">
        <f t="shared" si="9"/>
        <v>18.456660163717444</v>
      </c>
      <c r="M23" s="19">
        <f t="shared" si="10"/>
        <v>316107.89529739413</v>
      </c>
      <c r="N23" s="20">
        <f t="shared" si="11"/>
        <v>4.905122513235427</v>
      </c>
      <c r="O23" s="27">
        <f t="shared" si="12"/>
        <v>473.73279491387603</v>
      </c>
      <c r="P23" s="19">
        <f t="shared" si="13"/>
        <v>3532230.7484241072</v>
      </c>
      <c r="Q23" s="20">
        <f t="shared" si="14"/>
        <v>332.23952584187145</v>
      </c>
      <c r="R23" s="27">
        <f t="shared" si="15"/>
        <v>209.24257946664687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4158008.3408756666</v>
      </c>
      <c r="X23" s="25">
        <f t="shared" si="19"/>
        <v>542.36328361329913</v>
      </c>
    </row>
    <row r="24" spans="1:24" x14ac:dyDescent="0.2">
      <c r="A24" s="10">
        <v>21</v>
      </c>
      <c r="B24" s="15">
        <f t="shared" si="20"/>
        <v>790.75742053335341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64.219905100625454</v>
      </c>
      <c r="G24" s="19">
        <f t="shared" si="4"/>
        <v>36822.787718175954</v>
      </c>
      <c r="H24" s="20">
        <f t="shared" si="5"/>
        <v>20.252533244996776</v>
      </c>
      <c r="I24" s="27">
        <f t="shared" si="6"/>
        <v>42.178100208391896</v>
      </c>
      <c r="J24" s="19">
        <f t="shared" si="7"/>
        <v>108829.47468595665</v>
      </c>
      <c r="K24" s="20">
        <f t="shared" si="8"/>
        <v>10.731795420420724</v>
      </c>
      <c r="L24" s="27">
        <f t="shared" si="9"/>
        <v>17.64224608504119</v>
      </c>
      <c r="M24" s="19">
        <f t="shared" si="10"/>
        <v>146679.31821028184</v>
      </c>
      <c r="N24" s="20">
        <f t="shared" si="11"/>
        <v>2.2760583860216146</v>
      </c>
      <c r="O24" s="27">
        <f t="shared" si="12"/>
        <v>484.81380923584902</v>
      </c>
      <c r="P24" s="19">
        <f t="shared" si="13"/>
        <v>1754782.8348433317</v>
      </c>
      <c r="Q24" s="20">
        <f t="shared" si="14"/>
        <v>165.05383100011534</v>
      </c>
      <c r="R24" s="27">
        <f t="shared" si="15"/>
        <v>217.54807654031973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2047114.415457746</v>
      </c>
      <c r="X24" s="25">
        <f t="shared" si="19"/>
        <v>260.52582169389132</v>
      </c>
    </row>
    <row r="25" spans="1:24" x14ac:dyDescent="0.2">
      <c r="A25" s="10">
        <v>22</v>
      </c>
      <c r="B25" s="15">
        <f t="shared" si="20"/>
        <v>782.45192345968053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62.228012652031772</v>
      </c>
      <c r="G25" s="19">
        <f t="shared" si="4"/>
        <v>69282.844048900341</v>
      </c>
      <c r="H25" s="20">
        <f t="shared" si="5"/>
        <v>38.105564226895183</v>
      </c>
      <c r="I25" s="27">
        <f t="shared" si="6"/>
        <v>40.931058288303696</v>
      </c>
      <c r="J25" s="19">
        <f t="shared" si="7"/>
        <v>205071.47878899545</v>
      </c>
      <c r="K25" s="20">
        <f t="shared" si="8"/>
        <v>20.222326380581496</v>
      </c>
      <c r="L25" s="27">
        <f t="shared" si="9"/>
        <v>16.883816702077109</v>
      </c>
      <c r="M25" s="19">
        <f t="shared" si="10"/>
        <v>272570.22119425656</v>
      </c>
      <c r="N25" s="20">
        <f t="shared" si="11"/>
        <v>4.2295379150832906</v>
      </c>
      <c r="O25" s="27">
        <f t="shared" si="12"/>
        <v>494.75999127560829</v>
      </c>
      <c r="P25" s="19">
        <f t="shared" si="13"/>
        <v>3477248.5930041084</v>
      </c>
      <c r="Q25" s="20">
        <f t="shared" si="14"/>
        <v>327.067936965733</v>
      </c>
      <c r="R25" s="27">
        <f t="shared" si="15"/>
        <v>225.48708727858826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4024173.1370362607</v>
      </c>
      <c r="X25" s="25">
        <f t="shared" si="19"/>
        <v>500.76065743188508</v>
      </c>
    </row>
    <row r="26" spans="1:24" x14ac:dyDescent="0.2">
      <c r="A26" s="10">
        <v>23</v>
      </c>
      <c r="B26" s="15">
        <f t="shared" si="20"/>
        <v>774.51291272141202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60.375462653917559</v>
      </c>
      <c r="G26" s="19">
        <f t="shared" si="4"/>
        <v>32631.198649989565</v>
      </c>
      <c r="H26" s="20">
        <f t="shared" si="5"/>
        <v>17.947159257494263</v>
      </c>
      <c r="I26" s="27">
        <f t="shared" si="6"/>
        <v>39.76742766211315</v>
      </c>
      <c r="J26" s="19">
        <f t="shared" si="7"/>
        <v>96719.171772804068</v>
      </c>
      <c r="K26" s="20">
        <f t="shared" si="8"/>
        <v>9.5375849942626232</v>
      </c>
      <c r="L26" s="27">
        <f t="shared" si="9"/>
        <v>16.178667432318019</v>
      </c>
      <c r="M26" s="19">
        <f t="shared" si="10"/>
        <v>126789.50472947706</v>
      </c>
      <c r="N26" s="20">
        <f t="shared" si="11"/>
        <v>1.967423349250506</v>
      </c>
      <c r="O26" s="27">
        <f t="shared" si="12"/>
        <v>503.66040635800874</v>
      </c>
      <c r="P26" s="19">
        <f t="shared" si="13"/>
        <v>1718350.5175431564</v>
      </c>
      <c r="Q26" s="20">
        <f t="shared" si="14"/>
        <v>161.62702887782163</v>
      </c>
      <c r="R26" s="27">
        <f t="shared" si="15"/>
        <v>233.08480479452297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1974490.3926954272</v>
      </c>
      <c r="X26" s="25">
        <f t="shared" si="19"/>
        <v>240.71243365752065</v>
      </c>
    </row>
    <row r="27" spans="1:24" x14ac:dyDescent="0.2">
      <c r="A27" s="10">
        <v>24</v>
      </c>
      <c r="B27" s="15">
        <f t="shared" si="20"/>
        <v>766.9151952054774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58.652291790268237</v>
      </c>
      <c r="G27" s="19">
        <f t="shared" si="4"/>
        <v>61553.154229891814</v>
      </c>
      <c r="H27" s="20">
        <f t="shared" si="5"/>
        <v>33.854234826440496</v>
      </c>
      <c r="I27" s="27">
        <f t="shared" si="6"/>
        <v>38.682204919838028</v>
      </c>
      <c r="J27" s="19">
        <f t="shared" si="7"/>
        <v>182679.18332223815</v>
      </c>
      <c r="K27" s="20">
        <f t="shared" si="8"/>
        <v>18.014197244276261</v>
      </c>
      <c r="L27" s="27">
        <f t="shared" si="9"/>
        <v>15.523780176467181</v>
      </c>
      <c r="M27" s="19">
        <f t="shared" si="10"/>
        <v>236227.69530171584</v>
      </c>
      <c r="N27" s="20">
        <f t="shared" si="11"/>
        <v>3.6656021684749005</v>
      </c>
      <c r="O27" s="27">
        <f t="shared" si="12"/>
        <v>511.59794536317048</v>
      </c>
      <c r="P27" s="19">
        <f t="shared" si="13"/>
        <v>3389186.8220504248</v>
      </c>
      <c r="Q27" s="20">
        <f t="shared" si="14"/>
        <v>318.78489910375282</v>
      </c>
      <c r="R27" s="27">
        <f t="shared" si="15"/>
        <v>240.36520513906606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3869646.8549042707</v>
      </c>
      <c r="X27" s="25">
        <f t="shared" si="19"/>
        <v>462.98413373983044</v>
      </c>
    </row>
    <row r="28" spans="1:24" x14ac:dyDescent="0.2">
      <c r="A28" s="10">
        <v>25</v>
      </c>
      <c r="B28" s="15">
        <f t="shared" si="20"/>
        <v>759.63479486093422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57.048987447489189</v>
      </c>
      <c r="G28" s="19">
        <f t="shared" si="4"/>
        <v>29063.375067369972</v>
      </c>
      <c r="H28" s="20">
        <f t="shared" si="5"/>
        <v>15.984856287053482</v>
      </c>
      <c r="I28" s="27">
        <f t="shared" si="6"/>
        <v>37.670292045608505</v>
      </c>
      <c r="J28" s="19">
        <f t="shared" si="7"/>
        <v>86359.398128139917</v>
      </c>
      <c r="K28" s="20">
        <f t="shared" si="8"/>
        <v>8.515996204302688</v>
      </c>
      <c r="L28" s="27">
        <f t="shared" si="9"/>
        <v>14.916006552321196</v>
      </c>
      <c r="M28" s="19">
        <f t="shared" si="10"/>
        <v>110184.03531489508</v>
      </c>
      <c r="N28" s="20">
        <f t="shared" si="11"/>
        <v>1.7097522721276823</v>
      </c>
      <c r="O28" s="27">
        <f t="shared" si="12"/>
        <v>518.64952093380998</v>
      </c>
      <c r="P28" s="19">
        <f t="shared" si="13"/>
        <v>1667913.3245987212</v>
      </c>
      <c r="Q28" s="20">
        <f t="shared" si="14"/>
        <v>156.88293647215693</v>
      </c>
      <c r="R28" s="27">
        <f t="shared" si="15"/>
        <v>247.3509062184763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1893520.1331091262</v>
      </c>
      <c r="X28" s="25">
        <f t="shared" si="19"/>
        <v>222.69159189832774</v>
      </c>
    </row>
    <row r="29" spans="1:24" x14ac:dyDescent="0.2">
      <c r="A29" s="10">
        <v>26</v>
      </c>
      <c r="B29" s="15">
        <f t="shared" si="20"/>
        <v>752.6490937815239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55.55656120193936</v>
      </c>
      <c r="G29" s="19">
        <f t="shared" si="4"/>
        <v>54957.40694176824</v>
      </c>
      <c r="H29" s="20">
        <f t="shared" si="5"/>
        <v>30.226573817972529</v>
      </c>
      <c r="I29" s="27">
        <f t="shared" si="6"/>
        <v>36.726655245114081</v>
      </c>
      <c r="J29" s="19">
        <f t="shared" si="7"/>
        <v>163487.58137866648</v>
      </c>
      <c r="K29" s="20">
        <f t="shared" si="8"/>
        <v>16.121692052618499</v>
      </c>
      <c r="L29" s="27">
        <f t="shared" si="9"/>
        <v>14.352189951024824</v>
      </c>
      <c r="M29" s="19">
        <f t="shared" si="10"/>
        <v>205862.41004490331</v>
      </c>
      <c r="N29" s="20">
        <f t="shared" si="11"/>
        <v>3.1944167075933274</v>
      </c>
      <c r="O29" s="27">
        <f t="shared" si="12"/>
        <v>524.88634057678962</v>
      </c>
      <c r="P29" s="19">
        <f t="shared" si="13"/>
        <v>3277611.9855499733</v>
      </c>
      <c r="Q29" s="20">
        <f t="shared" si="14"/>
        <v>308.29023626460139</v>
      </c>
      <c r="R29" s="27">
        <f t="shared" si="15"/>
        <v>254.06310916702083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3701919.3839153112</v>
      </c>
      <c r="X29" s="25">
        <f t="shared" si="19"/>
        <v>428.57118410428478</v>
      </c>
    </row>
    <row r="30" spans="1:24" x14ac:dyDescent="0.2">
      <c r="A30" s="10">
        <v>27</v>
      </c>
      <c r="B30" s="15">
        <f t="shared" si="20"/>
        <v>745.93689083297932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54.166581547957648</v>
      </c>
      <c r="G30" s="19">
        <f t="shared" si="4"/>
        <v>26010.88234786356</v>
      </c>
      <c r="H30" s="20">
        <f t="shared" si="5"/>
        <v>14.305985291324957</v>
      </c>
      <c r="I30" s="27">
        <f t="shared" si="6"/>
        <v>35.84642504774375</v>
      </c>
      <c r="J30" s="19">
        <f t="shared" si="7"/>
        <v>77460.807575106723</v>
      </c>
      <c r="K30" s="20">
        <f t="shared" si="8"/>
        <v>7.6384963025452475</v>
      </c>
      <c r="L30" s="27">
        <f t="shared" si="9"/>
        <v>13.829244700860638</v>
      </c>
      <c r="M30" s="19">
        <f t="shared" si="10"/>
        <v>96291.980693919861</v>
      </c>
      <c r="N30" s="20">
        <f t="shared" si="11"/>
        <v>1.4941859073194461</v>
      </c>
      <c r="O30" s="27">
        <f t="shared" si="12"/>
        <v>530.37422170899356</v>
      </c>
      <c r="P30" s="19">
        <f t="shared" si="13"/>
        <v>1607709.0451619311</v>
      </c>
      <c r="Q30" s="20">
        <f t="shared" si="14"/>
        <v>151.22015771325093</v>
      </c>
      <c r="R30" s="27">
        <f t="shared" si="15"/>
        <v>260.52159464498197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1807472.7157788211</v>
      </c>
      <c r="X30" s="25">
        <f t="shared" si="19"/>
        <v>206.25067183608093</v>
      </c>
    </row>
    <row r="31" spans="1:24" x14ac:dyDescent="0.2">
      <c r="A31" s="10">
        <v>28</v>
      </c>
      <c r="B31" s="15">
        <f t="shared" si="20"/>
        <v>739.47840535501814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52.871180310212665</v>
      </c>
      <c r="G31" s="19">
        <f t="shared" si="4"/>
        <v>49298.696162721892</v>
      </c>
      <c r="H31" s="20">
        <f t="shared" si="5"/>
        <v>27.114282889497041</v>
      </c>
      <c r="I31" s="27">
        <f t="shared" si="6"/>
        <v>35.024956282564233</v>
      </c>
      <c r="J31" s="19">
        <f t="shared" si="7"/>
        <v>146962.50405042502</v>
      </c>
      <c r="K31" s="20">
        <f t="shared" si="8"/>
        <v>14.492135816083577</v>
      </c>
      <c r="L31" s="27">
        <f t="shared" si="9"/>
        <v>13.344205431086507</v>
      </c>
      <c r="M31" s="19">
        <f t="shared" si="10"/>
        <v>180416.87202164804</v>
      </c>
      <c r="N31" s="20">
        <f t="shared" si="11"/>
        <v>2.7995721520600561</v>
      </c>
      <c r="O31" s="27">
        <f t="shared" si="12"/>
        <v>535.17392545426196</v>
      </c>
      <c r="P31" s="19">
        <f t="shared" si="13"/>
        <v>3150016.0338161387</v>
      </c>
      <c r="Q31" s="20">
        <f t="shared" si="14"/>
        <v>296.28863684409225</v>
      </c>
      <c r="R31" s="27">
        <f t="shared" si="15"/>
        <v>266.74475476036923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3526694.1060509337</v>
      </c>
      <c r="X31" s="25">
        <f t="shared" si="19"/>
        <v>397.13054788019724</v>
      </c>
    </row>
    <row r="32" spans="1:24" x14ac:dyDescent="0.2">
      <c r="A32" s="10">
        <v>29</v>
      </c>
      <c r="B32" s="15">
        <f t="shared" si="20"/>
        <v>733.25524523963088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51.663042412926956</v>
      </c>
      <c r="G32" s="19">
        <f t="shared" si="4"/>
        <v>23384.559054237518</v>
      </c>
      <c r="H32" s="20">
        <f t="shared" si="5"/>
        <v>12.861507479830635</v>
      </c>
      <c r="I32" s="27">
        <f t="shared" si="6"/>
        <v>34.257860881886863</v>
      </c>
      <c r="J32" s="19">
        <f t="shared" si="7"/>
        <v>69778.553498186753</v>
      </c>
      <c r="K32" s="20">
        <f t="shared" si="8"/>
        <v>6.880940692182306</v>
      </c>
      <c r="L32" s="27">
        <f t="shared" si="9"/>
        <v>12.894255935542944</v>
      </c>
      <c r="M32" s="19">
        <f t="shared" si="10"/>
        <v>84627.886626181164</v>
      </c>
      <c r="N32" s="20">
        <f t="shared" si="11"/>
        <v>1.3131913441993628</v>
      </c>
      <c r="O32" s="27">
        <f t="shared" si="12"/>
        <v>539.34149402470007</v>
      </c>
      <c r="P32" s="19">
        <f t="shared" si="13"/>
        <v>1541041.846919006</v>
      </c>
      <c r="Q32" s="20">
        <f t="shared" si="14"/>
        <v>144.9494806507976</v>
      </c>
      <c r="R32" s="27">
        <f t="shared" si="15"/>
        <v>272.74964720435815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1718832.8460976114</v>
      </c>
      <c r="X32" s="25">
        <f t="shared" si="19"/>
        <v>191.20951170302308</v>
      </c>
    </row>
    <row r="33" spans="1:24" ht="16" thickBot="1" x14ac:dyDescent="0.25">
      <c r="A33" s="11">
        <v>30</v>
      </c>
      <c r="B33" s="16">
        <f t="shared" si="20"/>
        <v>727.2503527956419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50.535385470020124</v>
      </c>
      <c r="G33" s="21">
        <f t="shared" si="4"/>
        <v>11103.951840363114</v>
      </c>
      <c r="H33" s="22">
        <f t="shared" si="5"/>
        <v>6.1071735121997124</v>
      </c>
      <c r="I33" s="28">
        <f t="shared" si="6"/>
        <v>33.541022498260666</v>
      </c>
      <c r="J33" s="21">
        <f t="shared" si="7"/>
        <v>33164.297207780495</v>
      </c>
      <c r="K33" s="22">
        <f t="shared" si="8"/>
        <v>3.2703681968783544</v>
      </c>
      <c r="L33" s="28">
        <f t="shared" si="9"/>
        <v>12.476744095460353</v>
      </c>
      <c r="M33" s="21">
        <f t="shared" si="10"/>
        <v>39751.29272179737</v>
      </c>
      <c r="N33" s="22">
        <f t="shared" si="11"/>
        <v>0.61683040430375224</v>
      </c>
      <c r="O33" s="28">
        <f t="shared" si="12"/>
        <v>542.92858198356817</v>
      </c>
      <c r="P33" s="21">
        <f t="shared" si="13"/>
        <v>753053.93670458801</v>
      </c>
      <c r="Q33" s="22">
        <f t="shared" si="14"/>
        <v>70.831805927659261</v>
      </c>
      <c r="R33" s="28">
        <f t="shared" si="15"/>
        <v>278.55206237535248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837073.47847452899</v>
      </c>
      <c r="X33" s="25">
        <f t="shared" si="19"/>
        <v>92.082508241590659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77860259.701636553</v>
      </c>
      <c r="X34" s="31">
        <f>SUM(X3:X33)</f>
        <v>15945.958774151324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A97-0C6B-0942-A341-42981AFCBDC7}">
  <dimension ref="A1:Y113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f>0</f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3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SUM(pHealthyStage1*C3,(1-SUM(pStage1Remission,pStage1Stage2))*F3,pStage2Stage1*I3,pRemissionStage1_trtB*O3)*(1-'Life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pStage2Stage3))*I3,pStage3Stage2*L3,pRemissionStage2_trtB*O3)*(1-'Life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SUM(pStage1Remission*F3,pStage2Remission*I3,(1-SUM(pRemissionStage1_trtB, pRemissionStage2_trtB))*O3)*(1-'Life Table - Female'!B58)</f>
        <v>0</v>
      </c>
      <c r="P4" s="19">
        <f t="shared" ref="P4:P33" si="9">O4*SUM(nVisitsRemission*cVisit, cTrtB)*W4/(1+discount_rate)^A4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Female'!B58,U3)</f>
        <v>5.3003649227321148</v>
      </c>
      <c r="V4" s="49">
        <f>SUM(C4,F4,I4,L4,O4,R4-R3,U4-U3)-B3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3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SUM(pHealthyStage1*C4,(1-SUM(pStage1Remission,pStage1Stage2))*F4,pStage2Stage1*I4,pRemissionStage1_trtB*O4)*(1-'Life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pStage2Stage3))*I4,pStage3Stage2*L4,pRemissionStage2_trtB*O4)*(1-'Life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SUM(pStage1Remission*F4,pStage2Remission*I4,(1-SUM(pRemissionStage1_trtB, pRemissionStage2_trtB))*O4)*(1-'Life Table - Female'!B59)</f>
        <v>16.318582110117191</v>
      </c>
      <c r="P5" s="19">
        <f t="shared" si="9"/>
        <v>155869.19789724529</v>
      </c>
      <c r="Q5" s="20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3">
        <f>SUM(B4*'Life Table - Female'!B59,U4)</f>
        <v>10.995023629261109</v>
      </c>
      <c r="V5" s="49">
        <f t="shared" ref="V5:V33" si="14">SUM(C5,F5,I5,L5,O5,R5-R4,U5-U4)-B4</f>
        <v>0</v>
      </c>
      <c r="W5" s="54">
        <v>1.3333333333333333</v>
      </c>
      <c r="X5" s="13">
        <f t="shared" ref="X5:Y33" si="15">SUM(D5,G5,J5,M5,P5,S5)</f>
        <v>1131257.3715330213</v>
      </c>
      <c r="Y5" s="25">
        <f t="shared" si="15"/>
        <v>1197.8759164333464</v>
      </c>
    </row>
    <row r="6" spans="1:25" x14ac:dyDescent="0.2">
      <c r="A6" s="10">
        <v>3</v>
      </c>
      <c r="B6" s="13">
        <f t="shared" si="13"/>
        <v>970.85085441317733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SUM(pHealthyStage1*C5,(1-SUM(pStage1Remission,pStage1Stage2))*F5,pStage2Stage1*I5,pRemissionStage1_trtB*O5)*(1-'Life Table - Female'!B60)</f>
        <v>95.447605159212401</v>
      </c>
      <c r="G6" s="19">
        <f t="shared" si="3"/>
        <v>93171.285084465941</v>
      </c>
      <c r="H6" s="20">
        <f t="shared" si="4"/>
        <v>51.244206796456275</v>
      </c>
      <c r="I6" s="27">
        <f>SUM(pHealthyStage2*C5,pStage1Stage2*F5,(1-SUM(pStage2Remission, pStage2Stage1, pStage2Stage3))*I5,pStage3Stage2*L5,pRemissionStage2_trtB*O5)*(1-'Life Table - Female'!B60)</f>
        <v>46.955189385964921</v>
      </c>
      <c r="J6" s="19">
        <f t="shared" si="5"/>
        <v>206259.11966358626</v>
      </c>
      <c r="K6" s="20">
        <f t="shared" si="6"/>
        <v>20.339440966825869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SUM(pStage1Remission*F5,pStage2Remission*I5,(1-SUM(pRemissionStage1_trtB, pRemissionStage2_trtB))*O5)*(1-'Life Table - Female'!B60)</f>
        <v>41.025466371594327</v>
      </c>
      <c r="P6" s="19">
        <f t="shared" si="9"/>
        <v>190223.50774659295</v>
      </c>
      <c r="Q6" s="20">
        <f t="shared" si="10"/>
        <v>23.777938468324116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3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801961.93013945047</v>
      </c>
      <c r="Y6" s="25">
        <f t="shared" si="15"/>
        <v>567.14833852438414</v>
      </c>
    </row>
    <row r="7" spans="1:25" x14ac:dyDescent="0.2">
      <c r="A7" s="10">
        <v>4</v>
      </c>
      <c r="B7" s="13">
        <f t="shared" si="13"/>
        <v>954.46709289890134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SUM(pHealthyStage1*C6,(1-SUM(pStage1Remission,pStage1Stage2))*F6,pStage2Stage1*I6,pRemissionStage1_trtB*O6)*(1-'Life Table - Female'!B61)</f>
        <v>105.22703009190683</v>
      </c>
      <c r="G7" s="19">
        <f t="shared" si="3"/>
        <v>199451.42043155979</v>
      </c>
      <c r="H7" s="20">
        <f t="shared" si="4"/>
        <v>109.69828123735789</v>
      </c>
      <c r="I7" s="27">
        <f>SUM(pHealthyStage2*C6,pStage1Stage2*F6,(1-SUM(pStage2Remission, pStage2Stage1, pStage2Stage3))*I6,pStage3Stage2*L6,pRemissionStage2_trtB*O6)*(1-'Life Table - Female'!B61)</f>
        <v>54.98717676405569</v>
      </c>
      <c r="J7" s="19">
        <f t="shared" si="5"/>
        <v>469011.78582061449</v>
      </c>
      <c r="K7" s="20">
        <f t="shared" si="6"/>
        <v>46.249773323977259</v>
      </c>
      <c r="L7" s="27">
        <f>SUM(pHealthyStage3*C6,pStage2Stage3*I6,(1-SUM(pStage3Death, pStage3Stage2))*L6)*(1-'Life Table - Female'!B61)</f>
        <v>25.556382030090575</v>
      </c>
      <c r="M7" s="19">
        <f t="shared" si="7"/>
        <v>702388.17955658806</v>
      </c>
      <c r="N7" s="20">
        <f t="shared" si="8"/>
        <v>10.899126924153954</v>
      </c>
      <c r="O7" s="27">
        <f>SUM(pStage1Remission*F6,pStage2Remission*I6,(1-SUM(pRemissionStage1_trtB, pRemissionStage2_trtB))*O6)*(1-'Life Table - Female'!B61)</f>
        <v>69.296978949466975</v>
      </c>
      <c r="P7" s="19">
        <f t="shared" si="9"/>
        <v>623903.94499704731</v>
      </c>
      <c r="Q7" s="20">
        <f t="shared" si="10"/>
        <v>77.98799312463089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3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1994755.3308058095</v>
      </c>
      <c r="Y7" s="25">
        <f t="shared" si="15"/>
        <v>1073.3784003930514</v>
      </c>
    </row>
    <row r="8" spans="1:25" x14ac:dyDescent="0.2">
      <c r="A8" s="10">
        <v>5</v>
      </c>
      <c r="B8" s="13">
        <f t="shared" si="13"/>
        <v>936.08707321025531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SUM(pHealthyStage1*C7,(1-SUM(pStage1Remission,pStage1Stage2))*F7,pStage2Stage1*I7,pRemissionStage1_trtB*O7)*(1-'Life Table - Female'!B62)</f>
        <v>110.84601488410613</v>
      </c>
      <c r="G8" s="19">
        <f t="shared" si="3"/>
        <v>101991.19589654158</v>
      </c>
      <c r="H8" s="20">
        <f t="shared" si="4"/>
        <v>56.095157743097872</v>
      </c>
      <c r="I8" s="27">
        <f>SUM(pHealthyStage2*C7,pStage1Stage2*F7,(1-SUM(pStage2Remission, pStage2Stage1, pStage2Stage3))*I7,pStage3Stage2*L7,pRemissionStage2_trtB*O7)*(1-'Life Table - Female'!B62)</f>
        <v>60.415710786438225</v>
      </c>
      <c r="J8" s="19">
        <f t="shared" si="5"/>
        <v>250152.58962813459</v>
      </c>
      <c r="K8" s="20">
        <f t="shared" si="6"/>
        <v>24.667824810552162</v>
      </c>
      <c r="L8" s="27">
        <f>SUM(pHealthyStage3*C7,pStage2Stage3*I7,(1-SUM(pStage3Death, pStage3Stage2))*L7)*(1-'Life Table - Female'!B62)</f>
        <v>27.815833998015229</v>
      </c>
      <c r="M8" s="19">
        <f t="shared" si="7"/>
        <v>371110.02655900217</v>
      </c>
      <c r="N8" s="20">
        <f t="shared" si="8"/>
        <v>5.7586038603983081</v>
      </c>
      <c r="O8" s="27">
        <f>SUM(pStage1Remission*F7,pStage2Remission*I7,(1-SUM(pRemissionStage1_trtB, pRemissionStage2_trtB))*O7)*(1-'Life Table - Female'!B62)</f>
        <v>98.256381895519326</v>
      </c>
      <c r="P8" s="19">
        <f t="shared" si="9"/>
        <v>429434.54526739253</v>
      </c>
      <c r="Q8" s="20">
        <f t="shared" si="10"/>
        <v>53.679318158424074</v>
      </c>
      <c r="R8" s="27">
        <f>SUM(pStage3Death*L7*(1-'Life Table - Female'!B62),R7)</f>
        <v>33.336912918871406</v>
      </c>
      <c r="S8" s="19">
        <f t="shared" si="11"/>
        <v>0</v>
      </c>
      <c r="T8" s="23">
        <f t="shared" si="12"/>
        <v>0</v>
      </c>
      <c r="U8" s="13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1152688.3573510707</v>
      </c>
      <c r="Y8" s="25">
        <f t="shared" si="15"/>
        <v>507.53027951306314</v>
      </c>
    </row>
    <row r="9" spans="1:25" x14ac:dyDescent="0.2">
      <c r="A9" s="10">
        <v>6</v>
      </c>
      <c r="B9" s="13">
        <f t="shared" si="13"/>
        <v>916.2481444221163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SUM(pHealthyStage1*C8,(1-SUM(pStage1Remission,pStage1Stage2))*F8,pStage2Stage1*I8,pRemissionStage1_trtB*O8)*(1-'Life Table - Female'!B63)</f>
        <v>113.9582142275444</v>
      </c>
      <c r="G9" s="19">
        <f t="shared" si="3"/>
        <v>203601.51538208354</v>
      </c>
      <c r="H9" s="20">
        <f t="shared" si="4"/>
        <v>111.98083346014596</v>
      </c>
      <c r="I9" s="27">
        <f>SUM(pHealthyStage2*C8,pStage1Stage2*F8,(1-SUM(pStage2Remission, pStage2Stage1, pStage2Stage3))*I8,pStage3Stage2*L8,pRemissionStage2_trtB*O8)*(1-'Life Table - Female'!B63)</f>
        <v>63.936651462583477</v>
      </c>
      <c r="J9" s="19">
        <f t="shared" si="5"/>
        <v>514041.01463984256</v>
      </c>
      <c r="K9" s="20">
        <f t="shared" si="6"/>
        <v>50.690155610317817</v>
      </c>
      <c r="L9" s="27">
        <f>SUM(pHealthyStage3*C8,pStage2Stage3*I8,(1-SUM(pStage3Death, pStage3Stage2))*L8)*(1-'Life Table - Female'!B63)</f>
        <v>29.125064490680227</v>
      </c>
      <c r="M9" s="19">
        <f t="shared" si="7"/>
        <v>754519.15369534295</v>
      </c>
      <c r="N9" s="20">
        <f t="shared" si="8"/>
        <v>11.708055833203597</v>
      </c>
      <c r="O9" s="27">
        <f>SUM(pStage1Remission*F8,pStage2Remission*I8,(1-SUM(pRemissionStage1_trtB, pRemissionStage2_trtB))*O8)*(1-'Life Table - Female'!B63)</f>
        <v>126.23408033380819</v>
      </c>
      <c r="P9" s="19">
        <f t="shared" si="9"/>
        <v>1071286.4233565745</v>
      </c>
      <c r="Q9" s="20">
        <f t="shared" si="10"/>
        <v>133.91080291957181</v>
      </c>
      <c r="R9" s="27">
        <f>SUM(pStage3Death*L8*(1-'Life Table - Female'!B63),R8)</f>
        <v>45.754805959615013</v>
      </c>
      <c r="S9" s="19">
        <f t="shared" si="11"/>
        <v>0</v>
      </c>
      <c r="T9" s="23">
        <f t="shared" si="12"/>
        <v>0</v>
      </c>
      <c r="U9" s="13">
        <f>SUM(B8*'Life Table - Female'!B63,U8)</f>
        <v>37.997049618268825</v>
      </c>
      <c r="V9" s="49">
        <f t="shared" si="14"/>
        <v>0</v>
      </c>
      <c r="W9" s="54">
        <v>1.3333333333333333</v>
      </c>
      <c r="X9" s="13">
        <f t="shared" si="15"/>
        <v>2543448.1070738435</v>
      </c>
      <c r="Y9" s="25">
        <f t="shared" si="15"/>
        <v>959.28772633851054</v>
      </c>
    </row>
    <row r="10" spans="1:25" x14ac:dyDescent="0.2">
      <c r="A10" s="10">
        <v>7</v>
      </c>
      <c r="B10" s="13">
        <f t="shared" si="13"/>
        <v>895.39492590819373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SUM(pHealthyStage1*C9,(1-SUM(pStage1Remission,pStage1Stage2))*F9,pStage2Stage1*I9,pRemissionStage1_trtB*O9)*(1-'Life Table - Female'!B64)</f>
        <v>115.51863991615834</v>
      </c>
      <c r="G10" s="19">
        <f t="shared" si="3"/>
        <v>100189.04055227504</v>
      </c>
      <c r="H10" s="20">
        <f t="shared" si="4"/>
        <v>55.10397230375127</v>
      </c>
      <c r="I10" s="27">
        <f>SUM(pHealthyStage2*C9,pStage1Stage2*F9,(1-SUM(pStage2Remission, pStage2Stage1, pStage2Stage3))*I9,pStage3Stage2*L9,pRemissionStage2_trtB*O9)*(1-'Life Table - Female'!B64)</f>
        <v>66.089168412623224</v>
      </c>
      <c r="J10" s="19">
        <f t="shared" si="5"/>
        <v>257935.40077461721</v>
      </c>
      <c r="K10" s="20">
        <f t="shared" si="6"/>
        <v>25.435296465274753</v>
      </c>
      <c r="L10" s="27">
        <f>SUM(pHealthyStage3*C9,pStage2Stage3*I9,(1-SUM(pStage3Death, pStage3Stage2))*L9)*(1-'Life Table - Female'!B64)</f>
        <v>29.725784395064654</v>
      </c>
      <c r="M10" s="19">
        <f t="shared" si="7"/>
        <v>373825.97644258355</v>
      </c>
      <c r="N10" s="20">
        <f t="shared" si="8"/>
        <v>5.8007479103159518</v>
      </c>
      <c r="O10" s="27">
        <f>SUM(pStage1Remission*F9,pStage2Remission*I9,(1-SUM(pRemissionStage1_trtB, pRemissionStage2_trtB))*O9)*(1-'Life Table - Female'!B64)</f>
        <v>152.30745421338654</v>
      </c>
      <c r="P10" s="19">
        <f t="shared" si="9"/>
        <v>627455.48388512037</v>
      </c>
      <c r="Q10" s="20">
        <f t="shared" si="10"/>
        <v>78.431935485640025</v>
      </c>
      <c r="R10" s="27">
        <f>SUM(pStage3Death*L9*(1-'Life Table - Female'!B64),R9)</f>
        <v>58.748662387200973</v>
      </c>
      <c r="S10" s="19">
        <f t="shared" si="11"/>
        <v>0</v>
      </c>
      <c r="T10" s="23">
        <f t="shared" si="12"/>
        <v>0</v>
      </c>
      <c r="U10" s="13">
        <f>SUM(B9*'Life Table - Female'!B64,U9)</f>
        <v>45.856411704605776</v>
      </c>
      <c r="V10" s="49">
        <f t="shared" si="14"/>
        <v>0</v>
      </c>
      <c r="W10" s="54">
        <v>0.66666666666666663</v>
      </c>
      <c r="X10" s="13">
        <f t="shared" si="15"/>
        <v>1359405.9016545962</v>
      </c>
      <c r="Y10" s="25">
        <f t="shared" si="15"/>
        <v>453.01499557510829</v>
      </c>
    </row>
    <row r="11" spans="1:25" x14ac:dyDescent="0.2">
      <c r="A11" s="10">
        <v>8</v>
      </c>
      <c r="B11" s="13">
        <f t="shared" si="13"/>
        <v>873.88850572230467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SUM(pHealthyStage1*C10,(1-SUM(pStage1Remission,pStage1Stage2))*F10,pStage2Stage1*I10,pRemissionStage1_trtB*O10)*(1-'Life Table - Female'!B65)</f>
        <v>116.08393152763175</v>
      </c>
      <c r="G11" s="19">
        <f t="shared" si="3"/>
        <v>195493.81867387544</v>
      </c>
      <c r="H11" s="20">
        <f t="shared" si="4"/>
        <v>107.52160027063151</v>
      </c>
      <c r="I11" s="27">
        <f>SUM(pHealthyStage2*C10,pStage1Stage2*F10,(1-SUM(pStage2Remission, pStage2Stage1, pStage2Stage3))*I10,pStage3Stage2*L10,pRemissionStage2_trtB*O10)*(1-'Life Table - Female'!B65)</f>
        <v>67.270138865779117</v>
      </c>
      <c r="J11" s="19">
        <f t="shared" si="5"/>
        <v>509795.22061657743</v>
      </c>
      <c r="K11" s="20">
        <f t="shared" si="6"/>
        <v>50.271473144134724</v>
      </c>
      <c r="L11" s="27">
        <f>SUM(pHealthyStage3*C10,pStage2Stage3*I10,(1-SUM(pStage3Death, pStage3Stage2))*L10)*(1-'Life Table - Female'!B65)</f>
        <v>29.816422959535611</v>
      </c>
      <c r="M11" s="19">
        <f t="shared" si="7"/>
        <v>728088.99086459342</v>
      </c>
      <c r="N11" s="20">
        <f t="shared" si="8"/>
        <v>11.297932616864381</v>
      </c>
      <c r="O11" s="27">
        <f>SUM(pStage1Remission*F10,pStage2Remission*I10,(1-SUM(pRemissionStage1_trtB, pRemissionStage2_trtB))*O10)*(1-'Life Table - Female'!B65)</f>
        <v>176.01366624068615</v>
      </c>
      <c r="P11" s="19">
        <f t="shared" si="9"/>
        <v>1407994.3767579335</v>
      </c>
      <c r="Q11" s="20">
        <f t="shared" si="10"/>
        <v>175.99929709474165</v>
      </c>
      <c r="R11" s="27">
        <f>SUM(pStage3Death*L10*(1-'Life Table - Female'!B65),R10)</f>
        <v>72.001969358255977</v>
      </c>
      <c r="S11" s="19">
        <f t="shared" si="11"/>
        <v>0</v>
      </c>
      <c r="T11" s="23">
        <f t="shared" si="12"/>
        <v>0</v>
      </c>
      <c r="U11" s="13">
        <f>SUM(B10*'Life Table - Female'!B65,U10)</f>
        <v>54.1095249194397</v>
      </c>
      <c r="V11" s="49">
        <f t="shared" si="14"/>
        <v>0</v>
      </c>
      <c r="W11" s="54">
        <v>1.3333333333333333</v>
      </c>
      <c r="X11" s="13">
        <f t="shared" si="15"/>
        <v>2841372.4069129797</v>
      </c>
      <c r="Y11" s="25">
        <f t="shared" si="15"/>
        <v>855.26375212113476</v>
      </c>
    </row>
    <row r="12" spans="1:25" x14ac:dyDescent="0.2">
      <c r="A12" s="10">
        <v>9</v>
      </c>
      <c r="B12" s="13">
        <f t="shared" si="13"/>
        <v>852.00899729856042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SUM(pHealthyStage1*C11,(1-SUM(pStage1Remission,pStage1Stage2))*F11,pStage2Stage1*I11,pRemissionStage1_trtB*O11)*(1-'Life Table - Female'!B66)</f>
        <v>115.98244024654386</v>
      </c>
      <c r="G12" s="19">
        <f t="shared" si="3"/>
        <v>94816.941720529183</v>
      </c>
      <c r="H12" s="20">
        <f t="shared" si="4"/>
        <v>52.149317946291056</v>
      </c>
      <c r="I12" s="27">
        <f>SUM(pHealthyStage2*C11,pStage1Stage2*F11,(1-SUM(pStage2Remission, pStage2Stage1, pStage2Stage3))*I11,pStage3Stage2*L11,pRemissionStage2_trtB*O11)*(1-'Life Table - Female'!B66)</f>
        <v>67.762777429634639</v>
      </c>
      <c r="J12" s="19">
        <f t="shared" si="5"/>
        <v>249285.72697031547</v>
      </c>
      <c r="K12" s="20">
        <f t="shared" si="6"/>
        <v>24.582342520683884</v>
      </c>
      <c r="L12" s="27">
        <f>SUM(pHealthyStage3*C11,pStage2Stage3*I11,(1-SUM(pStage3Death, pStage3Stage2))*L11)*(1-'Life Table - Female'!B66)</f>
        <v>29.552263909102685</v>
      </c>
      <c r="M12" s="19">
        <f t="shared" si="7"/>
        <v>350309.93952989782</v>
      </c>
      <c r="N12" s="20">
        <f t="shared" si="8"/>
        <v>5.4358438892570344</v>
      </c>
      <c r="O12" s="27">
        <f>SUM(pStage1Remission*F11,pStage2Remission*I11,(1-SUM(pRemissionStage1_trtB, pRemissionStage2_trtB))*O11)*(1-'Life Table - Female'!B66)</f>
        <v>197.16890025383029</v>
      </c>
      <c r="P12" s="19">
        <f t="shared" si="9"/>
        <v>765641.95754512411</v>
      </c>
      <c r="Q12" s="20">
        <f t="shared" si="10"/>
        <v>95.7052446931405</v>
      </c>
      <c r="R12" s="27">
        <f>SUM(pStage3Death*L11*(1-'Life Table - Female'!B66),R11)</f>
        <v>85.287409250987906</v>
      </c>
      <c r="S12" s="19">
        <f t="shared" si="11"/>
        <v>0</v>
      </c>
      <c r="T12" s="23">
        <f t="shared" si="12"/>
        <v>0</v>
      </c>
      <c r="U12" s="13">
        <f>SUM(B11*'Life Table - Female'!B66,U11)</f>
        <v>62.703593450451933</v>
      </c>
      <c r="V12" s="49">
        <f t="shared" si="14"/>
        <v>0</v>
      </c>
      <c r="W12" s="54">
        <v>0.66666666666666663</v>
      </c>
      <c r="X12" s="13">
        <f t="shared" si="15"/>
        <v>1460054.5657658665</v>
      </c>
      <c r="Y12" s="25">
        <f t="shared" si="15"/>
        <v>403.47651473663217</v>
      </c>
    </row>
    <row r="13" spans="1:25" x14ac:dyDescent="0.2">
      <c r="A13" s="10">
        <v>10</v>
      </c>
      <c r="B13" s="13">
        <f t="shared" si="13"/>
        <v>829.93571373408918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SUM(pHealthyStage1*C12,(1-SUM(pStage1Remission,pStage1Stage2))*F12,pStage2Stage1*I12,pRemissionStage1_trtB*O12)*(1-'Life Table - Female'!B67)</f>
        <v>115.40718785979347</v>
      </c>
      <c r="G13" s="19">
        <f t="shared" si="3"/>
        <v>183197.41060653981</v>
      </c>
      <c r="H13" s="20">
        <f t="shared" si="4"/>
        <v>100.75857583359689</v>
      </c>
      <c r="I13" s="27">
        <f>SUM(pHealthyStage2*C12,pStage1Stage2*F12,(1-SUM(pStage2Remission, pStage2Stage1, pStage2Stage3))*I12,pStage3Stage2*L12,pRemissionStage2_trtB*O12)*(1-'Life Table - Female'!B67)</f>
        <v>67.762996710002568</v>
      </c>
      <c r="J13" s="19">
        <f t="shared" si="5"/>
        <v>484051.52166796528</v>
      </c>
      <c r="K13" s="20">
        <f t="shared" si="6"/>
        <v>47.732858386702127</v>
      </c>
      <c r="L13" s="27">
        <f>SUM(pHealthyStage3*C12,pStage2Stage3*I12,(1-SUM(pStage3Death, pStage3Stage2))*L12)*(1-'Life Table - Female'!B67)</f>
        <v>29.048846363539273</v>
      </c>
      <c r="M13" s="19">
        <f t="shared" si="7"/>
        <v>668626.15957600391</v>
      </c>
      <c r="N13" s="20">
        <f t="shared" si="8"/>
        <v>10.375233510662127</v>
      </c>
      <c r="O13" s="27">
        <f>SUM(pStage1Remission*F12,pStage2Remission*I12,(1-SUM(pRemissionStage1_trtB, pRemissionStage2_trtB))*O12)*(1-'Life Table - Female'!B67)</f>
        <v>215.7474270499298</v>
      </c>
      <c r="P13" s="19">
        <f t="shared" si="9"/>
        <v>1626768.3225744425</v>
      </c>
      <c r="Q13" s="20">
        <f t="shared" si="10"/>
        <v>203.3460403218053</v>
      </c>
      <c r="R13" s="27">
        <f>SUM(pStage3Death*L12*(1-'Life Table - Female'!B67),R12)</f>
        <v>98.446796119691925</v>
      </c>
      <c r="S13" s="19">
        <f t="shared" si="11"/>
        <v>0</v>
      </c>
      <c r="T13" s="23">
        <f t="shared" si="12"/>
        <v>0</v>
      </c>
      <c r="U13" s="13">
        <f>SUM(B12*'Life Table - Female'!B67,U12)</f>
        <v>71.617490146219282</v>
      </c>
      <c r="V13" s="49">
        <f t="shared" si="14"/>
        <v>0</v>
      </c>
      <c r="W13" s="54">
        <v>1.3333333333333333</v>
      </c>
      <c r="X13" s="13">
        <f t="shared" si="15"/>
        <v>2962643.4144249512</v>
      </c>
      <c r="Y13" s="25">
        <f t="shared" si="15"/>
        <v>761.01654429243797</v>
      </c>
    </row>
    <row r="14" spans="1:25" x14ac:dyDescent="0.2">
      <c r="A14" s="10">
        <v>11</v>
      </c>
      <c r="B14" s="13">
        <f t="shared" si="13"/>
        <v>807.77308443335232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SUM(pHealthyStage1*C13,(1-SUM(pStage1Remission,pStage1Stage2))*F13,pStage2Stage1*I13,pRemissionStage1_trtB*O13)*(1-'Life Table - Female'!B68)</f>
        <v>114.47280616619028</v>
      </c>
      <c r="G14" s="19">
        <f t="shared" si="3"/>
        <v>88210.763484183291</v>
      </c>
      <c r="H14" s="20">
        <f t="shared" si="4"/>
        <v>48.515919916300817</v>
      </c>
      <c r="I14" s="27">
        <f>SUM(pHealthyStage2*C13,pStage1Stage2*F13,(1-SUM(pStage2Remission, pStage2Stage1, pStage2Stage3))*I13,pStage3Stage2*L13,pRemissionStage2_trtB*O13)*(1-'Life Table - Female'!B68)</f>
        <v>67.404202651275369</v>
      </c>
      <c r="J14" s="19">
        <f t="shared" si="5"/>
        <v>233732.30461178892</v>
      </c>
      <c r="K14" s="20">
        <f t="shared" si="6"/>
        <v>23.048602260329183</v>
      </c>
      <c r="L14" s="27">
        <f>SUM(pHealthyStage3*C13,pStage2Stage3*I13,(1-SUM(pStage3Death, pStage3Stage2))*L13)*(1-'Life Table - Female'!B68)</f>
        <v>28.389075637802776</v>
      </c>
      <c r="M14" s="19">
        <f t="shared" si="7"/>
        <v>317203.89101220731</v>
      </c>
      <c r="N14" s="20">
        <f t="shared" si="8"/>
        <v>4.9221293432928723</v>
      </c>
      <c r="O14" s="27">
        <f>SUM(pStage1Remission*F13,pStage2Remission*I13,(1-SUM(pRemissionStage1_trtB, pRemissionStage2_trtB))*O13)*(1-'Life Table - Female'!B68)</f>
        <v>231.81081602549881</v>
      </c>
      <c r="P14" s="19">
        <f t="shared" si="9"/>
        <v>848489.66592221113</v>
      </c>
      <c r="Q14" s="20">
        <f t="shared" si="10"/>
        <v>106.06120824027637</v>
      </c>
      <c r="R14" s="27">
        <f>SUM(pStage3Death*L13*(1-'Life Table - Female'!B68),R13)</f>
        <v>111.37330255759255</v>
      </c>
      <c r="S14" s="19">
        <f t="shared" si="11"/>
        <v>0</v>
      </c>
      <c r="T14" s="23">
        <f t="shared" si="12"/>
        <v>0</v>
      </c>
      <c r="U14" s="13">
        <f>SUM(B13*'Life Table - Female'!B68,U13)</f>
        <v>80.853613009055493</v>
      </c>
      <c r="V14" s="49">
        <f t="shared" si="14"/>
        <v>0</v>
      </c>
      <c r="W14" s="54">
        <v>0.66666666666666663</v>
      </c>
      <c r="X14" s="13">
        <f t="shared" si="15"/>
        <v>1487636.6250303905</v>
      </c>
      <c r="Y14" s="25">
        <f t="shared" si="15"/>
        <v>358.67232913241418</v>
      </c>
    </row>
    <row r="15" spans="1:25" x14ac:dyDescent="0.2">
      <c r="A15" s="10">
        <v>12</v>
      </c>
      <c r="B15" s="13">
        <f t="shared" si="13"/>
        <v>785.51186616644827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SUM(pHealthyStage1*C14,(1-SUM(pStage1Remission,pStage1Stage2))*F14,pStage2Stage1*I14,pRemissionStage1_trtB*O14)*(1-'Life Table - Female'!B69)</f>
        <v>113.23968396718443</v>
      </c>
      <c r="G15" s="19">
        <f t="shared" si="3"/>
        <v>169437.94341118712</v>
      </c>
      <c r="H15" s="20">
        <f t="shared" si="4"/>
        <v>93.190868876152919</v>
      </c>
      <c r="I15" s="27">
        <f>SUM(pHealthyStage2*C14,pStage1Stage2*F14,(1-SUM(pStage2Remission, pStage2Stage1, pStage2Stage3))*I14,pStage3Stage2*L14,pRemissionStage2_trtB*O14)*(1-'Life Table - Female'!B69)</f>
        <v>66.771150831271598</v>
      </c>
      <c r="J15" s="19">
        <f t="shared" si="5"/>
        <v>449586.64099568845</v>
      </c>
      <c r="K15" s="20">
        <f t="shared" si="6"/>
        <v>44.334238209297048</v>
      </c>
      <c r="L15" s="27">
        <f>SUM(pHealthyStage3*C14,pStage2Stage3*I14,(1-SUM(pStage3Death, pStage3Stage2))*L14)*(1-'Life Table - Female'!B69)</f>
        <v>27.628478249530577</v>
      </c>
      <c r="M15" s="19">
        <f t="shared" si="7"/>
        <v>599427.95111736294</v>
      </c>
      <c r="N15" s="20">
        <f t="shared" si="8"/>
        <v>9.3014682069935617</v>
      </c>
      <c r="O15" s="27">
        <f>SUM(pStage1Remission*F14,pStage2Remission*I14,(1-SUM(pRemissionStage1_trtB, pRemissionStage2_trtB))*O14)*(1-'Life Table - Female'!B69)</f>
        <v>245.44656409425494</v>
      </c>
      <c r="P15" s="19">
        <f t="shared" si="9"/>
        <v>1744466.3214111484</v>
      </c>
      <c r="Q15" s="20">
        <f t="shared" si="10"/>
        <v>218.05829017639354</v>
      </c>
      <c r="R15" s="27">
        <f>SUM(pStage3Death*L14*(1-'Life Table - Female'!B69),R14)</f>
        <v>123.99595078732777</v>
      </c>
      <c r="S15" s="19">
        <f t="shared" si="11"/>
        <v>0</v>
      </c>
      <c r="T15" s="23">
        <f t="shared" si="12"/>
        <v>0</v>
      </c>
      <c r="U15" s="13">
        <f>SUM(B14*'Life Table - Female'!B69,U14)</f>
        <v>90.492183046224383</v>
      </c>
      <c r="V15" s="49">
        <f t="shared" si="14"/>
        <v>0</v>
      </c>
      <c r="W15" s="54">
        <v>1.3333333333333333</v>
      </c>
      <c r="X15" s="13">
        <f t="shared" si="15"/>
        <v>2962918.8569353865</v>
      </c>
      <c r="Y15" s="25">
        <f t="shared" si="15"/>
        <v>675.76073260860881</v>
      </c>
    </row>
    <row r="16" spans="1:25" x14ac:dyDescent="0.2">
      <c r="A16" s="10">
        <v>13</v>
      </c>
      <c r="B16" s="13">
        <f t="shared" si="13"/>
        <v>763.12905001551962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SUM(pHealthyStage1*C15,(1-SUM(pStage1Remission,pStage1Stage2))*F15,pStage2Stage1*I15,pRemissionStage1_trtB*O15)*(1-'Life Table - Female'!B70)</f>
        <v>111.74440563888362</v>
      </c>
      <c r="G16" s="19">
        <f t="shared" si="3"/>
        <v>81165.336273641631</v>
      </c>
      <c r="H16" s="20">
        <f t="shared" si="4"/>
        <v>44.640934950502889</v>
      </c>
      <c r="I16" s="27">
        <f>SUM(pHealthyStage2*C15,pStage1Stage2*F15,(1-SUM(pStage2Remission, pStage2Stage1, pStage2Stage3))*I15,pStage3Stage2*L15,pRemissionStage2_trtB*O15)*(1-'Life Table - Female'!B70)</f>
        <v>65.920500011187002</v>
      </c>
      <c r="J16" s="19">
        <f t="shared" si="5"/>
        <v>215465.53351506279</v>
      </c>
      <c r="K16" s="20">
        <f t="shared" si="6"/>
        <v>21.247295666068695</v>
      </c>
      <c r="L16" s="27">
        <f>SUM(pHealthyStage3*C15,pStage2Stage3*I15,(1-SUM(pStage3Death, pStage3Stage2))*L15)*(1-'Life Table - Female'!B70)</f>
        <v>26.804680817291878</v>
      </c>
      <c r="M16" s="19">
        <f t="shared" si="7"/>
        <v>282308.16869232303</v>
      </c>
      <c r="N16" s="20">
        <f t="shared" si="8"/>
        <v>4.3806439969498401</v>
      </c>
      <c r="O16" s="27">
        <f>SUM(pStage1Remission*F15,pStage2Remission*I15,(1-SUM(pRemissionStage1_trtB, pRemissionStage2_trtB))*O15)*(1-'Life Table - Female'!B70)</f>
        <v>256.76379766496598</v>
      </c>
      <c r="P16" s="19">
        <f t="shared" si="9"/>
        <v>885874.50388059195</v>
      </c>
      <c r="Q16" s="20">
        <f t="shared" si="10"/>
        <v>110.73431298507398</v>
      </c>
      <c r="R16" s="27">
        <f>SUM(pStage3Death*L15*(1-'Life Table - Female'!B70),R15)</f>
        <v>136.26874805206054</v>
      </c>
      <c r="S16" s="19">
        <f t="shared" si="11"/>
        <v>0</v>
      </c>
      <c r="T16" s="23">
        <f t="shared" si="12"/>
        <v>0</v>
      </c>
      <c r="U16" s="13">
        <f>SUM(B15*'Life Table - Female'!B70,U15)</f>
        <v>100.6022019324203</v>
      </c>
      <c r="V16" s="49">
        <f t="shared" si="14"/>
        <v>0</v>
      </c>
      <c r="W16" s="54">
        <v>0.66666666666666663</v>
      </c>
      <c r="X16" s="13">
        <f t="shared" si="15"/>
        <v>1464813.5423616194</v>
      </c>
      <c r="Y16" s="25">
        <f t="shared" si="15"/>
        <v>318.05402641278988</v>
      </c>
    </row>
    <row r="17" spans="1:25" x14ac:dyDescent="0.2">
      <c r="A17" s="10">
        <v>14</v>
      </c>
      <c r="B17" s="13">
        <f t="shared" si="13"/>
        <v>740.55237753896199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SUM(pHealthyStage1*C16,(1-SUM(pStage1Remission,pStage1Stage2))*F16,pStage2Stage1*I16,pRemissionStage1_trtB*O16)*(1-'Life Table - Female'!B71)</f>
        <v>110.00391003703281</v>
      </c>
      <c r="G17" s="19">
        <f t="shared" si="3"/>
        <v>155147.8264216574</v>
      </c>
      <c r="H17" s="20">
        <f t="shared" si="4"/>
        <v>85.331304531911584</v>
      </c>
      <c r="I17" s="27">
        <f>SUM(pHealthyStage2*C16,pStage1Stage2*F16,(1-SUM(pStage2Remission, pStage2Stage1, pStage2Stage3))*I16,pStage3Stage2*L16,pRemissionStage2_trtB*O16)*(1-'Life Table - Female'!B71)</f>
        <v>64.886525148695881</v>
      </c>
      <c r="J17" s="19">
        <f t="shared" si="5"/>
        <v>411817.31648160453</v>
      </c>
      <c r="K17" s="20">
        <f t="shared" si="6"/>
        <v>40.609763153047112</v>
      </c>
      <c r="L17" s="27">
        <f>SUM(pHealthyStage3*C16,pStage2Stage3*I16,(1-SUM(pStage3Death, pStage3Stage2))*L16)*(1-'Life Table - Female'!B71)</f>
        <v>25.941053859652492</v>
      </c>
      <c r="M17" s="19">
        <f t="shared" si="7"/>
        <v>530509.53135057737</v>
      </c>
      <c r="N17" s="20">
        <f t="shared" si="8"/>
        <v>8.2320444519917189</v>
      </c>
      <c r="O17" s="27">
        <f>SUM(pStage1Remission*F16,pStage2Remission*I16,(1-SUM(pRemissionStage1_trtB, pRemissionStage2_trtB))*O16)*(1-'Life Table - Female'!B71)</f>
        <v>265.86515482426125</v>
      </c>
      <c r="P17" s="19">
        <f t="shared" si="9"/>
        <v>1781117.6363839032</v>
      </c>
      <c r="Q17" s="20">
        <f t="shared" si="10"/>
        <v>222.63970454798789</v>
      </c>
      <c r="R17" s="27">
        <f>SUM(pStage3Death*L16*(1-'Life Table - Female'!B71),R16)</f>
        <v>148.16199089058156</v>
      </c>
      <c r="S17" s="19">
        <f t="shared" si="11"/>
        <v>0</v>
      </c>
      <c r="T17" s="23">
        <f t="shared" si="12"/>
        <v>0</v>
      </c>
      <c r="U17" s="13">
        <f>SUM(B16*'Life Table - Female'!B71,U16)</f>
        <v>111.28563157045686</v>
      </c>
      <c r="V17" s="49">
        <f t="shared" si="14"/>
        <v>0</v>
      </c>
      <c r="W17" s="54">
        <v>1.3333333333333333</v>
      </c>
      <c r="X17" s="13">
        <f t="shared" si="15"/>
        <v>2878592.3106377423</v>
      </c>
      <c r="Y17" s="25">
        <f t="shared" si="15"/>
        <v>598.21401902401658</v>
      </c>
    </row>
    <row r="18" spans="1:25" x14ac:dyDescent="0.2">
      <c r="A18" s="10">
        <v>15</v>
      </c>
      <c r="B18" s="13">
        <f t="shared" si="13"/>
        <v>717.75274126185695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SUM(pHealthyStage1*C17,(1-SUM(pStage1Remission,pStage1Stage2))*F17,pStage2Stage1*I17,pRemissionStage1_trtB*O17)*(1-'Life Table - Female'!B72)</f>
        <v>108.03418725145316</v>
      </c>
      <c r="G18" s="19">
        <f t="shared" si="3"/>
        <v>73965.902735615338</v>
      </c>
      <c r="H18" s="20">
        <f t="shared" si="4"/>
        <v>40.681246504588437</v>
      </c>
      <c r="I18" s="27">
        <f>SUM(pHealthyStage2*C17,pStage1Stage2*F17,(1-SUM(pStage2Remission, pStage2Stage1, pStage2Stage3))*I17,pStage3Stage2*L17,pRemissionStage2_trtB*O17)*(1-'Life Table - Female'!B72)</f>
        <v>63.695066317330635</v>
      </c>
      <c r="J18" s="19">
        <f t="shared" si="5"/>
        <v>196240.50866882363</v>
      </c>
      <c r="K18" s="20">
        <f t="shared" si="6"/>
        <v>19.351494604842326</v>
      </c>
      <c r="L18" s="27">
        <f>SUM(pHealthyStage3*C17,pStage2Stage3*I17,(1-SUM(pStage3Death, pStage3Stage2))*L17)*(1-'Life Table - Female'!B72)</f>
        <v>25.053696034749393</v>
      </c>
      <c r="M18" s="19">
        <f t="shared" si="7"/>
        <v>248719.68515420816</v>
      </c>
      <c r="N18" s="20">
        <f t="shared" si="8"/>
        <v>3.8594433903239205</v>
      </c>
      <c r="O18" s="27">
        <f>SUM(pStage1Remission*F17,pStage2Remission*I17,(1-SUM(pRemissionStage1_trtB, pRemissionStage2_trtB))*O17)*(1-'Life Table - Female'!B72)</f>
        <v>272.8684315447897</v>
      </c>
      <c r="P18" s="19">
        <f t="shared" si="9"/>
        <v>887395.57179576182</v>
      </c>
      <c r="Q18" s="20">
        <f t="shared" si="10"/>
        <v>110.92444647447022</v>
      </c>
      <c r="R18" s="27">
        <f>SUM(pStage3Death*L17*(1-'Life Table - Female'!B72),R17)</f>
        <v>159.65727233662889</v>
      </c>
      <c r="S18" s="19">
        <f t="shared" si="11"/>
        <v>0</v>
      </c>
      <c r="T18" s="23">
        <f t="shared" si="12"/>
        <v>0</v>
      </c>
      <c r="U18" s="13">
        <f>SUM(B17*'Life Table - Female'!B72,U17)</f>
        <v>122.58998640151458</v>
      </c>
      <c r="V18" s="49">
        <f t="shared" si="14"/>
        <v>0</v>
      </c>
      <c r="W18" s="54">
        <v>0.66666666666666663</v>
      </c>
      <c r="X18" s="13">
        <f t="shared" si="15"/>
        <v>1406321.6683544088</v>
      </c>
      <c r="Y18" s="25">
        <f t="shared" si="15"/>
        <v>280.98117907705642</v>
      </c>
    </row>
    <row r="19" spans="1:25" x14ac:dyDescent="0.2">
      <c r="A19" s="10">
        <v>16</v>
      </c>
      <c r="B19" s="13">
        <f t="shared" si="13"/>
        <v>694.68544580419234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SUM(pHealthyStage1*C18,(1-SUM(pStage1Remission,pStage1Stage2))*F18,pStage2Stage1*I18,pRemissionStage1_trtB*O18)*(1-'Life Table - Female'!B73)</f>
        <v>105.84467517615737</v>
      </c>
      <c r="G19" s="19">
        <f t="shared" si="3"/>
        <v>140712.32482618283</v>
      </c>
      <c r="H19" s="20">
        <f t="shared" si="4"/>
        <v>77.391778654400568</v>
      </c>
      <c r="I19" s="27">
        <f>SUM(pHealthyStage2*C18,pStage1Stage2*F18,(1-SUM(pStage2Remission, pStage2Stage1, pStage2Stage3))*I18,pStage3Stage2*L18,pRemissionStage2_trtB*O18)*(1-'Life Table - Female'!B73)</f>
        <v>62.362543275828209</v>
      </c>
      <c r="J19" s="19">
        <f t="shared" si="5"/>
        <v>373077.842065726</v>
      </c>
      <c r="K19" s="20">
        <f t="shared" si="6"/>
        <v>36.789620537036861</v>
      </c>
      <c r="L19" s="27">
        <f>SUM(pHealthyStage3*C18,pStage2Stage3*I18,(1-SUM(pStage3Death, pStage3Stage2))*L18)*(1-'Life Table - Female'!B73)</f>
        <v>24.152110057232807</v>
      </c>
      <c r="M19" s="19">
        <f t="shared" si="7"/>
        <v>465571.30506892811</v>
      </c>
      <c r="N19" s="20">
        <f t="shared" si="8"/>
        <v>7.2243823200350921</v>
      </c>
      <c r="O19" s="27">
        <f>SUM(pStage1Remission*F18,pStage2Remission*I18,(1-SUM(pRemissionStage1_trtB, pRemissionStage2_trtB))*O18)*(1-'Life Table - Female'!B73)</f>
        <v>277.88306046910168</v>
      </c>
      <c r="P19" s="19">
        <f t="shared" si="9"/>
        <v>1754764.3673703</v>
      </c>
      <c r="Q19" s="20">
        <f t="shared" si="10"/>
        <v>219.34554592128754</v>
      </c>
      <c r="R19" s="27">
        <f>SUM(pStage3Death*L18*(1-'Life Table - Female'!B73),R18)</f>
        <v>170.74323777550137</v>
      </c>
      <c r="S19" s="19">
        <f t="shared" si="11"/>
        <v>0</v>
      </c>
      <c r="T19" s="23">
        <f t="shared" si="12"/>
        <v>0</v>
      </c>
      <c r="U19" s="13">
        <f>SUM(B18*'Life Table - Female'!B73,U18)</f>
        <v>134.57131642030669</v>
      </c>
      <c r="V19" s="49">
        <f t="shared" si="14"/>
        <v>0</v>
      </c>
      <c r="W19" s="54">
        <v>1.3333333333333333</v>
      </c>
      <c r="X19" s="13">
        <f t="shared" si="15"/>
        <v>2734125.839331137</v>
      </c>
      <c r="Y19" s="25">
        <f t="shared" si="15"/>
        <v>527.23865110127338</v>
      </c>
    </row>
    <row r="20" spans="1:25" x14ac:dyDescent="0.2">
      <c r="A20" s="10">
        <v>17</v>
      </c>
      <c r="B20" s="13">
        <f t="shared" si="13"/>
        <v>671.32222882430642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SUM(pHealthyStage1*C19,(1-SUM(pStage1Remission,pStage1Stage2))*F19,pStage2Stage1*I19,pRemissionStage1_trtB*O19)*(1-'Life Table - Female'!B74)</f>
        <v>103.44463397659415</v>
      </c>
      <c r="G20" s="19">
        <f t="shared" si="3"/>
        <v>66758.085109581065</v>
      </c>
      <c r="H20" s="20">
        <f t="shared" si="4"/>
        <v>36.71694681026959</v>
      </c>
      <c r="I20" s="27">
        <f>SUM(pHealthyStage2*C19,pStage1Stage2*F19,(1-SUM(pStage2Remission, pStage2Stage1, pStage2Stage3))*I19,pStage3Stage2*L19,pRemissionStage2_trtB*O19)*(1-'Life Table - Female'!B74)</f>
        <v>60.901443552459092</v>
      </c>
      <c r="J20" s="19">
        <f t="shared" si="5"/>
        <v>176862.59963963885</v>
      </c>
      <c r="K20" s="20">
        <f t="shared" si="6"/>
        <v>17.440617464464381</v>
      </c>
      <c r="L20" s="27">
        <f>SUM(pHealthyStage3*C19,pStage2Stage3*I19,(1-SUM(pStage3Death, pStage3Stage2))*L19)*(1-'Life Table - Female'!B74)</f>
        <v>23.242277725327625</v>
      </c>
      <c r="M20" s="19">
        <f t="shared" si="7"/>
        <v>217491.65206332243</v>
      </c>
      <c r="N20" s="20">
        <f t="shared" si="8"/>
        <v>3.3748704630515549</v>
      </c>
      <c r="O20" s="27">
        <f>SUM(pStage1Remission*F19,pStage2Remission*I19,(1-SUM(pRemissionStage1_trtB, pRemissionStage2_trtB))*O19)*(1-'Life Table - Female'!B74)</f>
        <v>281.01922205540995</v>
      </c>
      <c r="P20" s="19">
        <f t="shared" si="9"/>
        <v>861441.00477293506</v>
      </c>
      <c r="Q20" s="20">
        <f t="shared" si="10"/>
        <v>107.6801255966169</v>
      </c>
      <c r="R20" s="27">
        <f>SUM(pStage3Death*L19*(1-'Life Table - Female'!B74),R19)</f>
        <v>181.4130979854738</v>
      </c>
      <c r="S20" s="19">
        <f t="shared" si="11"/>
        <v>0</v>
      </c>
      <c r="T20" s="23">
        <f t="shared" si="12"/>
        <v>0</v>
      </c>
      <c r="U20" s="13">
        <f>SUM(B19*'Life Table - Female'!B74,U19)</f>
        <v>147.26467319022032</v>
      </c>
      <c r="V20" s="49">
        <f t="shared" si="14"/>
        <v>0</v>
      </c>
      <c r="W20" s="54">
        <v>0.66666666666666663</v>
      </c>
      <c r="X20" s="13">
        <f t="shared" si="15"/>
        <v>1322553.3415854773</v>
      </c>
      <c r="Y20" s="25">
        <f t="shared" si="15"/>
        <v>246.97635898771816</v>
      </c>
    </row>
    <row r="21" spans="1:25" x14ac:dyDescent="0.2">
      <c r="A21" s="10">
        <v>18</v>
      </c>
      <c r="B21" s="13">
        <f t="shared" si="13"/>
        <v>647.61583094032198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SUM(pHealthyStage1*C20,(1-SUM(pStage1Remission,pStage1Stage2))*F20,pStage2Stage1*I20,pRemissionStage1_trtB*O20)*(1-'Life Table - Female'!B75)</f>
        <v>100.83863933989474</v>
      </c>
      <c r="G21" s="19">
        <f t="shared" si="3"/>
        <v>126361.75570691696</v>
      </c>
      <c r="H21" s="20">
        <f t="shared" si="4"/>
        <v>69.498965638804336</v>
      </c>
      <c r="I21" s="27">
        <f>SUM(pHealthyStage2*C20,pStage1Stage2*F20,(1-SUM(pStage2Remission, pStage2Stage1, pStage2Stage3))*I20,pStage3Stage2*L20,pRemissionStage2_trtB*O20)*(1-'Life Table - Female'!B75)</f>
        <v>59.318909001900778</v>
      </c>
      <c r="J21" s="19">
        <f t="shared" si="5"/>
        <v>334498.6298630159</v>
      </c>
      <c r="K21" s="20">
        <f t="shared" si="6"/>
        <v>32.98528155593629</v>
      </c>
      <c r="L21" s="27">
        <f>SUM(pHealthyStage3*C20,pStage2Stage3*I20,(1-SUM(pStage3Death, pStage3Stage2))*L20)*(1-'Life Table - Female'!B75)</f>
        <v>22.326793859459215</v>
      </c>
      <c r="M21" s="19">
        <f t="shared" si="7"/>
        <v>405679.47864937986</v>
      </c>
      <c r="N21" s="20">
        <f t="shared" si="8"/>
        <v>6.2950263928352044</v>
      </c>
      <c r="O21" s="27">
        <f>SUM(pStage1Remission*F20,pStage2Remission*I20,(1-SUM(pRemissionStage1_trtB, pRemissionStage2_trtB))*O20)*(1-'Life Table - Female'!B75)</f>
        <v>282.37245573138489</v>
      </c>
      <c r="P21" s="19">
        <f t="shared" si="9"/>
        <v>1680755.786071294</v>
      </c>
      <c r="Q21" s="20">
        <f t="shared" si="10"/>
        <v>210.09447325891179</v>
      </c>
      <c r="R21" s="27">
        <f>SUM(pStage3Death*L20*(1-'Life Table - Female'!B75),R20)</f>
        <v>191.66246595069953</v>
      </c>
      <c r="S21" s="19">
        <f t="shared" si="11"/>
        <v>0</v>
      </c>
      <c r="T21" s="23">
        <f t="shared" si="12"/>
        <v>0</v>
      </c>
      <c r="U21" s="13">
        <f>SUM(B20*'Life Table - Female'!B75,U20)</f>
        <v>160.72170310897903</v>
      </c>
      <c r="V21" s="49">
        <f t="shared" si="14"/>
        <v>0</v>
      </c>
      <c r="W21" s="54">
        <v>1.3333333333333333</v>
      </c>
      <c r="X21" s="13">
        <f t="shared" si="15"/>
        <v>2547295.6502906065</v>
      </c>
      <c r="Y21" s="25">
        <f t="shared" si="15"/>
        <v>462.00930748899282</v>
      </c>
    </row>
    <row r="22" spans="1:25" x14ac:dyDescent="0.2">
      <c r="A22" s="10">
        <v>19</v>
      </c>
      <c r="B22" s="13">
        <f t="shared" si="13"/>
        <v>623.71468323095178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SUM(pHealthyStage1*C21,(1-SUM(pStage1Remission,pStage1Stage2))*F21,pStage2Stage1*I21,pRemissionStage1_trtB*O21)*(1-'Life Table - Female'!B76)</f>
        <v>98.060663668866283</v>
      </c>
      <c r="G22" s="19">
        <f t="shared" si="3"/>
        <v>59650.801354942116</v>
      </c>
      <c r="H22" s="20">
        <f t="shared" si="4"/>
        <v>32.807940745218161</v>
      </c>
      <c r="I22" s="27">
        <f>SUM(pHealthyStage2*C21,pStage1Stage2*F21,(1-SUM(pStage2Remission, pStage2Stage1, pStage2Stage3))*I21,pStage3Stage2*L21,pRemissionStage2_trtB*O21)*(1-'Life Table - Female'!B76)</f>
        <v>57.637643100795238</v>
      </c>
      <c r="J22" s="19">
        <f t="shared" si="5"/>
        <v>157775.72389803012</v>
      </c>
      <c r="K22" s="20">
        <f t="shared" si="6"/>
        <v>15.558439439944637</v>
      </c>
      <c r="L22" s="27">
        <f>SUM(pHealthyStage3*C21,pStage2Stage3*I21,(1-SUM(pStage3Death, pStage3Stage2))*L21)*(1-'Life Table - Female'!B76)</f>
        <v>21.413189050902357</v>
      </c>
      <c r="M22" s="19">
        <f t="shared" si="7"/>
        <v>188873.40408060793</v>
      </c>
      <c r="N22" s="20">
        <f t="shared" si="8"/>
        <v>2.9307942012508126</v>
      </c>
      <c r="O22" s="27">
        <f>SUM(pStage1Remission*F21,pStage2Remission*I21,(1-SUM(pRemissionStage1_trtB, pRemissionStage2_trtB))*O21)*(1-'Life Table - Female'!B76)</f>
        <v>282.11844895558062</v>
      </c>
      <c r="P22" s="19">
        <f t="shared" si="9"/>
        <v>815166.92734911956</v>
      </c>
      <c r="Q22" s="20">
        <f t="shared" si="10"/>
        <v>101.89586591863991</v>
      </c>
      <c r="R22" s="27">
        <f>SUM(pStage3Death*L21*(1-'Life Table - Female'!B76),R21)</f>
        <v>201.49120502997647</v>
      </c>
      <c r="S22" s="19">
        <f t="shared" si="11"/>
        <v>0</v>
      </c>
      <c r="T22" s="23">
        <f t="shared" si="12"/>
        <v>0</v>
      </c>
      <c r="U22" s="13">
        <f>SUM(B21*'Life Table - Female'!B76,U21)</f>
        <v>174.79411173907235</v>
      </c>
      <c r="V22" s="49">
        <f t="shared" si="14"/>
        <v>0</v>
      </c>
      <c r="W22" s="54">
        <v>0.66666666666666663</v>
      </c>
      <c r="X22" s="13">
        <f t="shared" si="15"/>
        <v>1221466.8566826996</v>
      </c>
      <c r="Y22" s="25">
        <f t="shared" si="15"/>
        <v>215.72860561478063</v>
      </c>
    </row>
    <row r="23" spans="1:25" x14ac:dyDescent="0.2">
      <c r="A23" s="10">
        <v>20</v>
      </c>
      <c r="B23" s="13">
        <f t="shared" si="13"/>
        <v>599.02185610447157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SUM(pHealthyStage1*C22,(1-SUM(pStage1Remission,pStage1Stage2))*F22,pStage2Stage1*I22,pRemissionStage1_trtB*O22)*(1-'Life Table - Female'!B77)</f>
        <v>95.026460513481126</v>
      </c>
      <c r="G23" s="19">
        <f t="shared" si="3"/>
        <v>112242.87401058056</v>
      </c>
      <c r="H23" s="20">
        <f t="shared" si="4"/>
        <v>61.733580705819307</v>
      </c>
      <c r="I23" s="27">
        <f>SUM(pHealthyStage2*C22,pStage1Stage2*F22,(1-SUM(pStage2Remission, pStage2Stage1, pStage2Stage3))*I22,pStage3Stage2*L22,pRemissionStage2_trtB*O22)*(1-'Life Table - Female'!B77)</f>
        <v>55.809737655262346</v>
      </c>
      <c r="J23" s="19">
        <f t="shared" si="5"/>
        <v>296644.7864373012</v>
      </c>
      <c r="K23" s="20">
        <f t="shared" si="6"/>
        <v>29.252471995900532</v>
      </c>
      <c r="L23" s="27">
        <f>SUM(pHealthyStage3*C22,pStage2Stage3*I22,(1-SUM(pStage3Death, pStage3Stage2))*L22)*(1-'Life Table - Female'!B77)</f>
        <v>20.48225067058663</v>
      </c>
      <c r="M23" s="19">
        <f t="shared" si="7"/>
        <v>350800.25817242439</v>
      </c>
      <c r="N23" s="20">
        <f t="shared" si="8"/>
        <v>5.4434522819858957</v>
      </c>
      <c r="O23" s="27">
        <f>SUM(pStage1Remission*F22,pStage2Remission*I22,(1-SUM(pRemissionStage1_trtB, pRemissionStage2_trtB))*O22)*(1-'Life Table - Female'!B77)</f>
        <v>280.08788183692292</v>
      </c>
      <c r="P23" s="19">
        <f t="shared" si="9"/>
        <v>1571455.7413737152</v>
      </c>
      <c r="Q23" s="20">
        <f t="shared" si="10"/>
        <v>196.43196767171438</v>
      </c>
      <c r="R23" s="27">
        <f>SUM(pStage3Death*L22*(1-'Life Table - Female'!B77),R22)</f>
        <v>210.89087197821092</v>
      </c>
      <c r="S23" s="19">
        <f t="shared" si="11"/>
        <v>0</v>
      </c>
      <c r="T23" s="23">
        <f t="shared" si="12"/>
        <v>0</v>
      </c>
      <c r="U23" s="13">
        <f>SUM(B22*'Life Table - Female'!B77,U22)</f>
        <v>190.08727191731808</v>
      </c>
      <c r="V23" s="49">
        <f t="shared" si="14"/>
        <v>0</v>
      </c>
      <c r="W23" s="54">
        <v>1.3333333333333333</v>
      </c>
      <c r="X23" s="13">
        <f t="shared" si="15"/>
        <v>2331143.6599940215</v>
      </c>
      <c r="Y23" s="25">
        <f t="shared" si="15"/>
        <v>401.83632248352808</v>
      </c>
    </row>
    <row r="24" spans="1:25" x14ac:dyDescent="0.2">
      <c r="A24" s="10">
        <v>21</v>
      </c>
      <c r="B24" s="13">
        <f t="shared" si="13"/>
        <v>573.96137644879263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SUM(pHealthyStage1*C23,(1-SUM(pStage1Remission,pStage1Stage2))*F23,pStage2Stage1*I23,pRemissionStage1_trtB*O23)*(1-'Life Table - Female'!B78)</f>
        <v>91.811163741586725</v>
      </c>
      <c r="G24" s="19">
        <f t="shared" si="3"/>
        <v>52643.226228968939</v>
      </c>
      <c r="H24" s="20">
        <f t="shared" si="4"/>
        <v>28.953774425932917</v>
      </c>
      <c r="I24" s="27">
        <f>SUM(pHealthyStage2*C23,pStage1Stage2*F23,(1-SUM(pStage2Remission, pStage2Stage1, pStage2Stage3))*I23,pStage3Stage2*L23,pRemissionStage2_trtB*O23)*(1-'Life Table - Female'!B78)</f>
        <v>53.880252939359004</v>
      </c>
      <c r="J24" s="19">
        <f t="shared" si="5"/>
        <v>139023.79657607811</v>
      </c>
      <c r="K24" s="20">
        <f t="shared" si="6"/>
        <v>13.709291051252144</v>
      </c>
      <c r="L24" s="27">
        <f>SUM(pHealthyStage3*C23,pStage2Stage3*I23,(1-SUM(pStage3Death, pStage3Stage2))*L23)*(1-'Life Table - Female'!B78)</f>
        <v>19.549113071780706</v>
      </c>
      <c r="M24" s="19">
        <f t="shared" si="7"/>
        <v>162533.19238165519</v>
      </c>
      <c r="N24" s="20">
        <f t="shared" si="8"/>
        <v>2.5220667783360282</v>
      </c>
      <c r="O24" s="27">
        <f>SUM(pStage1Remission*F23,pStage2Remission*I23,(1-SUM(pRemissionStage1_trtB, pRemissionStage2_trtB))*O23)*(1-'Life Table - Female'!B78)</f>
        <v>276.56262142495319</v>
      </c>
      <c r="P24" s="19">
        <f t="shared" si="9"/>
        <v>753241.2535785127</v>
      </c>
      <c r="Q24" s="20">
        <f t="shared" si="10"/>
        <v>94.155156697314069</v>
      </c>
      <c r="R24" s="27">
        <f>SUM(pStage3Death*L23*(1-'Life Table - Female'!B78),R23)</f>
        <v>219.86029536378913</v>
      </c>
      <c r="S24" s="19">
        <f t="shared" si="11"/>
        <v>0</v>
      </c>
      <c r="T24" s="23">
        <f t="shared" si="12"/>
        <v>0</v>
      </c>
      <c r="U24" s="13">
        <f>SUM(B23*'Life Table - Female'!B78,U23)</f>
        <v>206.17832818741883</v>
      </c>
      <c r="V24" s="49">
        <f t="shared" si="14"/>
        <v>0</v>
      </c>
      <c r="W24" s="54">
        <v>0.66666666666666663</v>
      </c>
      <c r="X24" s="13">
        <f t="shared" si="15"/>
        <v>1107441.468765215</v>
      </c>
      <c r="Y24" s="25">
        <f t="shared" si="15"/>
        <v>186.70132781944423</v>
      </c>
    </row>
    <row r="25" spans="1:25" x14ac:dyDescent="0.2">
      <c r="A25" s="10">
        <v>22</v>
      </c>
      <c r="B25" s="13">
        <f t="shared" si="13"/>
        <v>548.24222351497133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SUM(pHealthyStage1*C24,(1-SUM(pStage1Remission,pStage1Stage2))*F24,pStage2Stage1*I24,pRemissionStage1_trtB*O24)*(1-'Life Table - Female'!B79)</f>
        <v>88.376363983851874</v>
      </c>
      <c r="G25" s="19">
        <f t="shared" si="3"/>
        <v>98395.65145267651</v>
      </c>
      <c r="H25" s="20">
        <f t="shared" si="4"/>
        <v>54.11760829897208</v>
      </c>
      <c r="I25" s="27">
        <f>SUM(pHealthyStage2*C24,pStage1Stage2*F24,(1-SUM(pStage2Remission, pStage2Stage1, pStage2Stage3))*I24,pStage3Stage2*L24,pRemissionStage2_trtB*O24)*(1-'Life Table - Female'!B79)</f>
        <v>51.827071824004939</v>
      </c>
      <c r="J25" s="19">
        <f t="shared" si="5"/>
        <v>259662.33722545268</v>
      </c>
      <c r="K25" s="20">
        <f t="shared" si="6"/>
        <v>25.605591587509913</v>
      </c>
      <c r="L25" s="27">
        <f>SUM(pHealthyStage3*C24,pStage2Stage3*I24,(1-SUM(pStage3Death, pStage3Stage2))*L24)*(1-'Life Table - Female'!B79)</f>
        <v>18.603947042845395</v>
      </c>
      <c r="M25" s="19">
        <f t="shared" si="7"/>
        <v>300339.78987291217</v>
      </c>
      <c r="N25" s="20">
        <f t="shared" si="8"/>
        <v>4.6604450152693264</v>
      </c>
      <c r="O25" s="27">
        <f>SUM(pStage1Remission*F24,pStage2Remission*I24,(1-SUM(pRemissionStage1_trtB, pRemissionStage2_trtB))*O24)*(1-'Life Table - Female'!B79)</f>
        <v>271.48976766874335</v>
      </c>
      <c r="P25" s="19">
        <f t="shared" si="9"/>
        <v>1435776.5346350821</v>
      </c>
      <c r="Q25" s="20">
        <f t="shared" si="10"/>
        <v>179.47206682938523</v>
      </c>
      <c r="R25" s="27">
        <f>SUM(pStage3Death*L24*(1-'Life Table - Female'!B79),R24)</f>
        <v>228.39399495646796</v>
      </c>
      <c r="S25" s="19">
        <f t="shared" si="11"/>
        <v>0</v>
      </c>
      <c r="T25" s="23">
        <f t="shared" si="12"/>
        <v>0</v>
      </c>
      <c r="U25" s="13">
        <f>SUM(B24*'Life Table - Female'!B79,U24)</f>
        <v>223.36378152856122</v>
      </c>
      <c r="V25" s="49">
        <f t="shared" si="14"/>
        <v>0</v>
      </c>
      <c r="W25" s="54">
        <v>1.3333333333333333</v>
      </c>
      <c r="X25" s="13">
        <f t="shared" si="15"/>
        <v>2094174.3131861235</v>
      </c>
      <c r="Y25" s="25">
        <f t="shared" si="15"/>
        <v>345.9285772143553</v>
      </c>
    </row>
    <row r="26" spans="1:25" x14ac:dyDescent="0.2">
      <c r="A26" s="10">
        <v>23</v>
      </c>
      <c r="B26" s="13">
        <f t="shared" si="13"/>
        <v>522.03482613405322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SUM(pHealthyStage1*C25,(1-SUM(pStage1Remission,pStage1Stage2))*F25,pStage2Stage1*I25,pRemissionStage1_trtB*O25)*(1-'Life Table - Female'!B80)</f>
        <v>84.756664858095945</v>
      </c>
      <c r="G26" s="19">
        <f t="shared" si="3"/>
        <v>45808.53622188617</v>
      </c>
      <c r="H26" s="20">
        <f t="shared" si="4"/>
        <v>25.194694922037396</v>
      </c>
      <c r="I26" s="27">
        <f>SUM(pHealthyStage2*C25,pStage1Stage2*F25,(1-SUM(pStage2Remission, pStage2Stage1, pStage2Stage3))*I25,pStage3Stage2*L25,pRemissionStage2_trtB*O25)*(1-'Life Table - Female'!B80)</f>
        <v>49.670645070625078</v>
      </c>
      <c r="J26" s="19">
        <f t="shared" si="5"/>
        <v>120804.98878303592</v>
      </c>
      <c r="K26" s="20">
        <f t="shared" si="6"/>
        <v>11.912714171660486</v>
      </c>
      <c r="L26" s="27">
        <f>SUM(pHealthyStage3*C25,pStage2Stage3*I25,(1-SUM(pStage3Death, pStage3Stage2))*L25)*(1-'Life Table - Female'!B80)</f>
        <v>17.652381229353157</v>
      </c>
      <c r="M26" s="19">
        <f t="shared" si="7"/>
        <v>138338.7527266164</v>
      </c>
      <c r="N26" s="20">
        <f t="shared" si="8"/>
        <v>2.1466358181716334</v>
      </c>
      <c r="O26" s="27">
        <f>SUM(pStage1Remission*F25,pStage2Remission*I25,(1-SUM(pRemissionStage1_trtB, pRemissionStage2_trtB))*O25)*(1-'Life Table - Female'!B80)</f>
        <v>265.03047925695796</v>
      </c>
      <c r="P26" s="19">
        <f t="shared" si="9"/>
        <v>680396.36840413092</v>
      </c>
      <c r="Q26" s="20">
        <f t="shared" si="10"/>
        <v>85.049546050516369</v>
      </c>
      <c r="R26" s="27">
        <f>SUM(pStage3Death*L25*(1-'Life Table - Female'!B80),R25)</f>
        <v>236.4891939777344</v>
      </c>
      <c r="S26" s="19">
        <f t="shared" si="11"/>
        <v>0</v>
      </c>
      <c r="T26" s="23">
        <f t="shared" si="12"/>
        <v>0</v>
      </c>
      <c r="U26" s="13">
        <f>SUM(B25*'Life Table - Female'!B80,U25)</f>
        <v>241.47597988821289</v>
      </c>
      <c r="V26" s="49">
        <f t="shared" si="14"/>
        <v>0</v>
      </c>
      <c r="W26" s="54">
        <v>0.66666666666666663</v>
      </c>
      <c r="X26" s="13">
        <f t="shared" si="15"/>
        <v>985348.64613566943</v>
      </c>
      <c r="Y26" s="25">
        <f t="shared" si="15"/>
        <v>159.74656246882225</v>
      </c>
    </row>
    <row r="27" spans="1:25" x14ac:dyDescent="0.2">
      <c r="A27" s="10">
        <v>24</v>
      </c>
      <c r="B27" s="13">
        <f t="shared" si="13"/>
        <v>495.02548116013367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SUM(pHealthyStage1*C26,(1-SUM(pStage1Remission,pStage1Stage2))*F26,pStage2Stage1*I26,pRemissionStage1_trtB*O26)*(1-'Life Table - Female'!B81)</f>
        <v>80.907889894040821</v>
      </c>
      <c r="G27" s="19">
        <f t="shared" si="3"/>
        <v>84909.483893165088</v>
      </c>
      <c r="H27" s="20">
        <f t="shared" si="4"/>
        <v>46.700216141240794</v>
      </c>
      <c r="I27" s="27">
        <f>SUM(pHealthyStage2*C26,pStage1Stage2*F26,(1-SUM(pStage2Remission, pStage2Stage1, pStage2Stage3))*I26,pStage3Stage2*L26,pRemissionStage2_trtB*O26)*(1-'Life Table - Female'!B81)</f>
        <v>47.385057328498007</v>
      </c>
      <c r="J27" s="19">
        <f t="shared" si="5"/>
        <v>223778.95966339082</v>
      </c>
      <c r="K27" s="20">
        <f t="shared" si="6"/>
        <v>22.067091855695484</v>
      </c>
      <c r="L27" s="27">
        <f>SUM(pHealthyStage3*C26,pStage2Stage3*I26,(1-SUM(pStage3Death, pStage3Stage2))*L26)*(1-'Life Table - Female'!B81)</f>
        <v>16.683474397956953</v>
      </c>
      <c r="M27" s="19">
        <f t="shared" si="7"/>
        <v>253874.93650734276</v>
      </c>
      <c r="N27" s="20">
        <f t="shared" si="8"/>
        <v>3.9394386699415249</v>
      </c>
      <c r="O27" s="27">
        <f>SUM(pStage1Remission*F26,pStage2Remission*I26,(1-SUM(pRemissionStage1_trtB, pRemissionStage2_trtB))*O26)*(1-'Life Table - Female'!B81)</f>
        <v>257.09834796373093</v>
      </c>
      <c r="P27" s="19">
        <f t="shared" si="9"/>
        <v>1281616.8893278695</v>
      </c>
      <c r="Q27" s="20">
        <f t="shared" si="10"/>
        <v>160.20211116598369</v>
      </c>
      <c r="R27" s="27">
        <f>SUM(pStage3Death*L26*(1-'Life Table - Female'!B81),R26)</f>
        <v>244.13816737539179</v>
      </c>
      <c r="S27" s="19">
        <f t="shared" si="11"/>
        <v>0</v>
      </c>
      <c r="T27" s="23">
        <f t="shared" si="12"/>
        <v>0</v>
      </c>
      <c r="U27" s="13">
        <f>SUM(B26*'Life Table - Female'!B81,U26)</f>
        <v>260.83635146447511</v>
      </c>
      <c r="V27" s="49">
        <f t="shared" si="14"/>
        <v>0</v>
      </c>
      <c r="W27" s="54">
        <v>1.3333333333333333</v>
      </c>
      <c r="X27" s="13">
        <f t="shared" si="15"/>
        <v>1844180.2693917681</v>
      </c>
      <c r="Y27" s="25">
        <f t="shared" si="15"/>
        <v>293.87631228746415</v>
      </c>
    </row>
    <row r="28" spans="1:25" x14ac:dyDescent="0.2">
      <c r="A28" s="10">
        <v>25</v>
      </c>
      <c r="B28" s="13">
        <f t="shared" si="13"/>
        <v>467.42565549051534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SUM(pHealthyStage1*C27,(1-SUM(pStage1Remission,pStage1Stage2))*F27,pStage2Stage1*I27,pRemissionStage1_trtB*O27)*(1-'Life Table - Female'!B82)</f>
        <v>76.870510681436571</v>
      </c>
      <c r="G28" s="19">
        <f t="shared" si="3"/>
        <v>39161.369614338138</v>
      </c>
      <c r="H28" s="20">
        <f t="shared" si="4"/>
        <v>21.538753287885974</v>
      </c>
      <c r="I28" s="27">
        <f>SUM(pHealthyStage2*C27,pStage1Stage2*F27,(1-SUM(pStage2Remission, pStage2Stage1, pStage2Stage3))*I27,pStage3Stage2*L27,pRemissionStage2_trtB*O27)*(1-'Life Table - Female'!B82)</f>
        <v>44.993901759975209</v>
      </c>
      <c r="J28" s="19">
        <f t="shared" si="5"/>
        <v>103148.82270420552</v>
      </c>
      <c r="K28" s="20">
        <f t="shared" si="6"/>
        <v>10.171620016664709</v>
      </c>
      <c r="L28" s="27">
        <f>SUM(pHealthyStage3*C27,pStage2Stage3*I27,(1-SUM(pStage3Death, pStage3Stage2))*L27)*(1-'Life Table - Female'!B82)</f>
        <v>15.703968809556594</v>
      </c>
      <c r="M28" s="19">
        <f t="shared" si="7"/>
        <v>116004.685827047</v>
      </c>
      <c r="N28" s="20">
        <f t="shared" si="8"/>
        <v>1.80007271110935</v>
      </c>
      <c r="O28" s="27">
        <f>SUM(pStage1Remission*F27,pStage2Remission*I27,(1-SUM(pRemissionStage1_trtB, pRemissionStage2_trtB))*O27)*(1-'Life Table - Female'!B82)</f>
        <v>247.86696772142955</v>
      </c>
      <c r="P28" s="19">
        <f t="shared" si="9"/>
        <v>599805.39738009078</v>
      </c>
      <c r="Q28" s="20">
        <f t="shared" si="10"/>
        <v>74.975674672511346</v>
      </c>
      <c r="R28" s="27">
        <f>SUM(pStage3Death*L27*(1-'Life Table - Female'!B82),R27)</f>
        <v>251.33631877265336</v>
      </c>
      <c r="S28" s="19">
        <f t="shared" si="11"/>
        <v>0</v>
      </c>
      <c r="T28" s="23">
        <f t="shared" si="12"/>
        <v>0</v>
      </c>
      <c r="U28" s="13">
        <f>SUM(B27*'Life Table - Female'!B82,U27)</f>
        <v>281.23802573683184</v>
      </c>
      <c r="V28" s="49">
        <f t="shared" si="14"/>
        <v>0</v>
      </c>
      <c r="W28" s="54">
        <v>0.66666666666666663</v>
      </c>
      <c r="X28" s="13">
        <f t="shared" si="15"/>
        <v>858120.27552568144</v>
      </c>
      <c r="Y28" s="25">
        <f t="shared" si="15"/>
        <v>134.59213870052034</v>
      </c>
    </row>
    <row r="29" spans="1:25" x14ac:dyDescent="0.2">
      <c r="A29" s="10">
        <v>26</v>
      </c>
      <c r="B29" s="13">
        <f t="shared" si="13"/>
        <v>439.20761785637899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SUM(pHealthyStage1*C28,(1-SUM(pStage1Remission,pStage1Stage2))*F28,pStage2Stage1*I28,pRemissionStage1_trtB*O28)*(1-'Life Table - Female'!B83)</f>
        <v>72.645934838843644</v>
      </c>
      <c r="G29" s="19">
        <f t="shared" si="3"/>
        <v>71862.478836507638</v>
      </c>
      <c r="H29" s="20">
        <f t="shared" si="4"/>
        <v>39.524363360079199</v>
      </c>
      <c r="I29" s="27">
        <f>SUM(pHealthyStage2*C28,pStage1Stage2*F28,(1-SUM(pStage2Remission, pStage2Stage1, pStage2Stage3))*I28,pStage3Stage2*L28,pRemissionStage2_trtB*O28)*(1-'Life Table - Female'!B83)</f>
        <v>42.497806869992672</v>
      </c>
      <c r="J29" s="19">
        <f t="shared" si="5"/>
        <v>189177.68614382835</v>
      </c>
      <c r="K29" s="20">
        <f t="shared" si="6"/>
        <v>18.655021828071963</v>
      </c>
      <c r="L29" s="27">
        <f>SUM(pHealthyStage3*C28,pStage2Stage3*I28,(1-SUM(pStage3Death, pStage3Stage2))*L28)*(1-'Life Table - Female'!B83)</f>
        <v>14.712454017621992</v>
      </c>
      <c r="M29" s="19">
        <f t="shared" si="7"/>
        <v>211029.90220152534</v>
      </c>
      <c r="N29" s="20">
        <f t="shared" si="8"/>
        <v>3.2746019307133238</v>
      </c>
      <c r="O29" s="27">
        <f>SUM(pStage1Remission*F28,pStage2Remission*I28,(1-SUM(pRemissionStage1_trtB, pRemissionStage2_trtB))*O28)*(1-'Life Table - Female'!B83)</f>
        <v>237.38603158540511</v>
      </c>
      <c r="P29" s="19">
        <f t="shared" si="9"/>
        <v>1115423.1322988532</v>
      </c>
      <c r="Q29" s="20">
        <f t="shared" si="10"/>
        <v>139.42789153735666</v>
      </c>
      <c r="R29" s="27">
        <f>SUM(pStage3Death*L28*(1-'Life Table - Female'!B83),R28)</f>
        <v>258.07842028245074</v>
      </c>
      <c r="S29" s="19">
        <f t="shared" si="11"/>
        <v>0</v>
      </c>
      <c r="T29" s="23">
        <f t="shared" si="12"/>
        <v>0</v>
      </c>
      <c r="U29" s="13">
        <f>SUM(B28*'Life Table - Female'!B83,U28)</f>
        <v>302.71396186117079</v>
      </c>
      <c r="V29" s="49">
        <f t="shared" si="14"/>
        <v>0</v>
      </c>
      <c r="W29" s="54">
        <v>1.3333333333333333</v>
      </c>
      <c r="X29" s="13">
        <f t="shared" si="15"/>
        <v>1587493.1994807145</v>
      </c>
      <c r="Y29" s="25">
        <f t="shared" si="15"/>
        <v>245.3751748609474</v>
      </c>
    </row>
    <row r="30" spans="1:25" x14ac:dyDescent="0.2">
      <c r="A30" s="10">
        <v>27</v>
      </c>
      <c r="B30" s="13">
        <f t="shared" si="13"/>
        <v>410.47999099307128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SUM(pHealthyStage1*C29,(1-SUM(pStage1Remission,pStage1Stage2))*F29,pStage2Stage1*I29,pRemissionStage1_trtB*O29)*(1-'Life Table - Female'!B84)</f>
        <v>68.257774082162882</v>
      </c>
      <c r="G30" s="19">
        <f t="shared" si="3"/>
        <v>32777.496386886771</v>
      </c>
      <c r="H30" s="20">
        <f t="shared" si="4"/>
        <v>18.027623012787721</v>
      </c>
      <c r="I30" s="27">
        <f>SUM(pHealthyStage2*C29,pStage1Stage2*F29,(1-SUM(pStage2Remission, pStage2Stage1, pStage2Stage3))*I29,pStage3Stage2*L29,pRemissionStage2_trtB*O29)*(1-'Life Table - Female'!B84)</f>
        <v>39.910356288875754</v>
      </c>
      <c r="J30" s="19">
        <f t="shared" si="5"/>
        <v>86242.58694218492</v>
      </c>
      <c r="K30" s="20">
        <f t="shared" si="6"/>
        <v>8.5044773234654567</v>
      </c>
      <c r="L30" s="27">
        <f>SUM(pHealthyStage3*C29,pStage2Stage3*I29,(1-SUM(pStage3Death, pStage3Stage2))*L29)*(1-'Life Table - Female'!B84)</f>
        <v>13.712067737474104</v>
      </c>
      <c r="M30" s="19">
        <f t="shared" si="7"/>
        <v>95476.086395984268</v>
      </c>
      <c r="N30" s="20">
        <f t="shared" si="8"/>
        <v>1.4815254785583765</v>
      </c>
      <c r="O30" s="27">
        <f>SUM(pStage1Remission*F29,pStage2Remission*I29,(1-SUM(pRemissionStage1_trtB, pRemissionStage2_trtB))*O29)*(1-'Life Table - Female'!B84)</f>
        <v>225.77515002116436</v>
      </c>
      <c r="P30" s="19">
        <f t="shared" si="9"/>
        <v>514983.60812364373</v>
      </c>
      <c r="Q30" s="20">
        <f t="shared" si="10"/>
        <v>64.37295101545547</v>
      </c>
      <c r="R30" s="27">
        <f>SUM(pStage3Death*L29*(1-'Life Table - Female'!B84),R29)</f>
        <v>264.36068376141066</v>
      </c>
      <c r="S30" s="19">
        <f t="shared" si="11"/>
        <v>0</v>
      </c>
      <c r="T30" s="23">
        <f t="shared" si="12"/>
        <v>0</v>
      </c>
      <c r="U30" s="13">
        <f>SUM(B29*'Life Table - Female'!B84,U29)</f>
        <v>325.15932524551863</v>
      </c>
      <c r="V30" s="49">
        <f t="shared" si="14"/>
        <v>0</v>
      </c>
      <c r="W30" s="54">
        <v>0.66666666666666663</v>
      </c>
      <c r="X30" s="13">
        <f t="shared" si="15"/>
        <v>729479.77784869971</v>
      </c>
      <c r="Y30" s="25">
        <f t="shared" si="15"/>
        <v>111.24188792991941</v>
      </c>
    </row>
    <row r="31" spans="1:25" x14ac:dyDescent="0.2">
      <c r="A31" s="10">
        <v>28</v>
      </c>
      <c r="B31" s="13">
        <f t="shared" si="13"/>
        <v>381.21901811408156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SUM(pHealthyStage1*C30,(1-SUM(pStage1Remission,pStage1Stage2))*F30,pStage2Stage1*I30,pRemissionStage1_trtB*O30)*(1-'Life Table - Female'!B85)</f>
        <v>63.707532100618899</v>
      </c>
      <c r="G31" s="19">
        <f t="shared" si="3"/>
        <v>59402.840070483566</v>
      </c>
      <c r="H31" s="20">
        <f t="shared" si="4"/>
        <v>32.671562038765956</v>
      </c>
      <c r="I31" s="27">
        <f>SUM(pHealthyStage2*C30,pStage1Stage2*F30,(1-SUM(pStage2Remission, pStage2Stage1, pStage2Stage3))*I30,pStage3Stage2*L30,pRemissionStage2_trtB*O30)*(1-'Life Table - Female'!B85)</f>
        <v>37.232178477433656</v>
      </c>
      <c r="J31" s="19">
        <f t="shared" si="5"/>
        <v>156223.86895083362</v>
      </c>
      <c r="K31" s="20">
        <f t="shared" si="6"/>
        <v>15.405409299318313</v>
      </c>
      <c r="L31" s="27">
        <f>SUM(pHealthyStage3*C30,pStage2Stage3*I30,(1-SUM(pStage3Death, pStage3Stage2))*L30)*(1-'Life Table - Female'!B85)</f>
        <v>12.70150031900182</v>
      </c>
      <c r="M31" s="19">
        <f t="shared" si="7"/>
        <v>171727.34407984081</v>
      </c>
      <c r="N31" s="20">
        <f t="shared" si="8"/>
        <v>2.6647346495147715</v>
      </c>
      <c r="O31" s="27">
        <f>SUM(pStage1Remission*F30,pStage2Remission*I30,(1-SUM(pRemissionStage1_trtB, pRemissionStage2_trtB))*O30)*(1-'Life Table - Female'!B85)</f>
        <v>213.08007843556774</v>
      </c>
      <c r="P31" s="19">
        <f t="shared" si="9"/>
        <v>943741.13499223127</v>
      </c>
      <c r="Q31" s="20">
        <f t="shared" si="10"/>
        <v>117.9676418740289</v>
      </c>
      <c r="R31" s="27">
        <f>SUM(pStage3Death*L30*(1-'Life Table - Female'!B85),R30)</f>
        <v>270.17871449672873</v>
      </c>
      <c r="S31" s="19">
        <f t="shared" si="11"/>
        <v>0</v>
      </c>
      <c r="T31" s="23">
        <f t="shared" si="12"/>
        <v>0</v>
      </c>
      <c r="U31" s="13">
        <f>SUM(B30*'Life Table - Female'!B85,U30)</f>
        <v>348.60226738919027</v>
      </c>
      <c r="V31" s="49">
        <f t="shared" si="14"/>
        <v>0</v>
      </c>
      <c r="W31" s="54">
        <v>1.3333333333333333</v>
      </c>
      <c r="X31" s="13">
        <f t="shared" si="15"/>
        <v>1331095.1880933894</v>
      </c>
      <c r="Y31" s="25">
        <f t="shared" si="15"/>
        <v>200.46893499624497</v>
      </c>
    </row>
    <row r="32" spans="1:25" x14ac:dyDescent="0.2">
      <c r="A32" s="10">
        <v>29</v>
      </c>
      <c r="B32" s="13">
        <f t="shared" si="13"/>
        <v>351.40991660854968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SUM(pHealthyStage1*C31,(1-SUM(pStage1Remission,pStage1Stage2))*F31,pStage2Stage1*I31,pRemissionStage1_trtB*O31)*(1-'Life Table - Female'!B86)</f>
        <v>58.997781585942164</v>
      </c>
      <c r="G32" s="19">
        <f t="shared" si="3"/>
        <v>26704.526933169218</v>
      </c>
      <c r="H32" s="20">
        <f t="shared" si="4"/>
        <v>14.687489813243069</v>
      </c>
      <c r="I32" s="27">
        <f>SUM(pHealthyStage2*C31,pStage1Stage2*F31,(1-SUM(pStage2Remission, pStage2Stage1, pStage2Stage3))*I31,pStage3Stage2*L31,pRemissionStage2_trtB*O31)*(1-'Life Table - Female'!B86)</f>
        <v>34.464529330133381</v>
      </c>
      <c r="J32" s="19">
        <f t="shared" si="5"/>
        <v>70199.508718422992</v>
      </c>
      <c r="K32" s="20">
        <f t="shared" si="6"/>
        <v>6.9224515541778233</v>
      </c>
      <c r="L32" s="27">
        <f>SUM(pHealthyStage3*C31,pStage2Stage3*I31,(1-SUM(pStage3Death, pStage3Stage2))*L31)*(1-'Life Table - Female'!B86)</f>
        <v>11.679764240200283</v>
      </c>
      <c r="M32" s="19">
        <f t="shared" si="7"/>
        <v>76656.905903006191</v>
      </c>
      <c r="N32" s="20">
        <f t="shared" si="8"/>
        <v>1.189503712288027</v>
      </c>
      <c r="O32" s="27">
        <f>SUM(pStage1Remission*F31,pStage2Remission*I31,(1-SUM(pRemissionStage1_trtB, pRemissionStage2_trtB))*O31)*(1-'Life Table - Female'!B86)</f>
        <v>199.34693043999843</v>
      </c>
      <c r="P32" s="19">
        <f t="shared" si="9"/>
        <v>428600.20015867933</v>
      </c>
      <c r="Q32" s="20">
        <f t="shared" si="10"/>
        <v>53.575025019834911</v>
      </c>
      <c r="R32" s="27">
        <f>SUM(pStage3Death*L31*(1-'Life Table - Female'!B86),R31)</f>
        <v>275.52765469435138</v>
      </c>
      <c r="S32" s="19">
        <f t="shared" si="11"/>
        <v>0</v>
      </c>
      <c r="T32" s="23">
        <f t="shared" si="12"/>
        <v>0</v>
      </c>
      <c r="U32" s="13">
        <f>SUM(B31*'Life Table - Female'!B86,U31)</f>
        <v>373.06242869709962</v>
      </c>
      <c r="V32" s="49">
        <f t="shared" si="14"/>
        <v>0</v>
      </c>
      <c r="W32" s="54">
        <v>0.66666666666666663</v>
      </c>
      <c r="X32" s="13">
        <f t="shared" si="15"/>
        <v>602161.14171327767</v>
      </c>
      <c r="Y32" s="25">
        <f t="shared" si="15"/>
        <v>89.648282035494503</v>
      </c>
    </row>
    <row r="33" spans="1:25" ht="16" thickBot="1" x14ac:dyDescent="0.25">
      <c r="A33" s="11">
        <v>30</v>
      </c>
      <c r="B33" s="166">
        <f t="shared" si="13"/>
        <v>321.10882135313295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SUM(pHealthyStage1*C32,(1-SUM(pStage1Remission,pStage1Stage2))*F32,pStage2Stage1*I32,pRemissionStage1_trtB*O32)*(1-'Life Table - Female'!B87)</f>
        <v>54.14267294879722</v>
      </c>
      <c r="G33" s="21">
        <f t="shared" si="3"/>
        <v>11896.567669175742</v>
      </c>
      <c r="H33" s="22">
        <f t="shared" si="4"/>
        <v>6.5431122180466588</v>
      </c>
      <c r="I33" s="28">
        <f>SUM(pHealthyStage2*C32,pStage1Stage2*F32,(1-SUM(pStage2Remission, pStage2Stage1, pStage2Stage3))*I32,pStage3Stage2*L32,pRemissionStage2_trtB*O32)*(1-'Life Table - Female'!B87)</f>
        <v>31.615433013573845</v>
      </c>
      <c r="J33" s="21">
        <f t="shared" si="5"/>
        <v>31260.335515090828</v>
      </c>
      <c r="K33" s="22">
        <f t="shared" si="6"/>
        <v>3.0826164188492342</v>
      </c>
      <c r="L33" s="28">
        <f>SUM(pHealthyStage3*C32,pStage2Stage3*I32,(1-SUM(pStage3Death, pStage3Stage2))*L32)*(1-'Life Table - Female'!B87)</f>
        <v>10.648249813029864</v>
      </c>
      <c r="M33" s="21">
        <f t="shared" si="7"/>
        <v>33925.653363892008</v>
      </c>
      <c r="N33" s="22">
        <f t="shared" si="8"/>
        <v>0.52643255219832419</v>
      </c>
      <c r="O33" s="28">
        <f>SUM(pStage1Remission*F32,pStage2Remission*I32,(1-SUM(pRemissionStage1_trtB, pRemissionStage2_trtB))*O32)*(1-'Life Table - Female'!B87)</f>
        <v>184.65849656858256</v>
      </c>
      <c r="P33" s="21">
        <f t="shared" si="9"/>
        <v>192728.03423320284</v>
      </c>
      <c r="Q33" s="22">
        <f t="shared" si="10"/>
        <v>24.091004279150354</v>
      </c>
      <c r="R33" s="28">
        <f>SUM(pStage3Death*L32*(1-'Life Table - Female'!B87),R32)</f>
        <v>280.40327013518186</v>
      </c>
      <c r="S33" s="21">
        <f t="shared" si="11"/>
        <v>0</v>
      </c>
      <c r="T33" s="24">
        <f t="shared" si="12"/>
        <v>0</v>
      </c>
      <c r="U33" s="166">
        <f>SUM(B32*'Life Table - Female'!B87,U32)</f>
        <v>398.48790851168587</v>
      </c>
      <c r="V33" s="49">
        <f t="shared" si="14"/>
        <v>0</v>
      </c>
      <c r="W33" s="54">
        <v>0.33333333333333331</v>
      </c>
      <c r="X33" s="13">
        <f t="shared" si="15"/>
        <v>269810.59078136145</v>
      </c>
      <c r="Y33" s="25">
        <f t="shared" si="15"/>
        <v>39.742360478322865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48307341.85930492</v>
      </c>
      <c r="Y34" s="31">
        <f>SUM(Y3:Y33)</f>
        <v>13636.219928694958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D2B9-262B-1944-861A-B1679BB2BA6F}">
  <sheetPr codeName="Sheet4"/>
  <dimension ref="A1:X113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 cm="1">
        <f t="array" ref="F4">SUM(pHealthyStage1*C3,(1-SUM(pStage1Remission,pStage1Stage2))*F3,pStage2Stage1*I3,pRemissionStage1_trtB*O3)</f>
        <v>50</v>
      </c>
      <c r="G4" s="19">
        <f t="shared" ref="G4:G33" si="3">F4*SUM(nVisitsStage1*cVisit,cTreatmentStage1)*V4/(1+discount_rate)^A4</f>
        <v>51779.935275080898</v>
      </c>
      <c r="H4" s="20">
        <f t="shared" ref="H4:H33" si="4">F4*uStage1*V4/(1+discount_rate)^A4</f>
        <v>28.478964401294498</v>
      </c>
      <c r="I4" s="27" cm="1">
        <f t="array" ref="I4">SUM(pHealthyStage2*C3,pStage1Stage2*F3,(1-SUM(pStage2Remission, pStage2Stage1, pStage2Stage3))*I3,pStage3Stage2*L3,pRemissionStage2_trtB*O3)</f>
        <v>20</v>
      </c>
      <c r="J4" s="19">
        <f t="shared" ref="J4:J33" si="5">I4*SUM(nVisitsStage2*cVisit,cTreatmentStage2)*V4/(1+discount_rate)^A4</f>
        <v>93203.883495145623</v>
      </c>
      <c r="K4" s="20">
        <f t="shared" ref="K4:K33" si="6">I4*uStage2*V4/(1+discount_rate)^A4</f>
        <v>9.1909385113268591</v>
      </c>
      <c r="L4" s="27">
        <f t="shared" ref="L4:L33" si="7">SUM(pHealthyStage3*C3,pStage2Stage3*I3,(1-SUM(pStage3Death, pStage3Stage2))*L3)</f>
        <v>10</v>
      </c>
      <c r="M4" s="19">
        <f t="shared" ref="M4:M33" si="8">L4*SUM(nVisitsStage3*cVisit,cTreatmentStage3)*V4/(1+discount_rate)^A4</f>
        <v>150161.81229773461</v>
      </c>
      <c r="N4" s="20">
        <f t="shared" ref="N4:N33" si="9">L4*uStage3*V4/(1+discount_rate)^A4</f>
        <v>2.3300970873786402</v>
      </c>
      <c r="O4" s="27">
        <f t="shared" ref="O4:O33" si="10">SUM(pStage1Remission*F3,pStage2Remission*I3,(1-SUM(pRemissionStage1_trtB, pRemissionStage2_trtB))*O3)</f>
        <v>0</v>
      </c>
      <c r="P4" s="19">
        <f t="shared" ref="P4:P33" si="11">O4*SUM(nVisitsRemission*cVisit, cTrtB)*V4/(1+discount_rate)^A4</f>
        <v>0</v>
      </c>
      <c r="Q4" s="20">
        <f t="shared" ref="Q4:Q33" si="12">O4*uRemission*V4/(1+discount_rate)^A4</f>
        <v>0</v>
      </c>
      <c r="R4" s="27">
        <f t="shared" ref="R4:R33" si="13">SUM(pStage3Death*L3,R3)</f>
        <v>0</v>
      </c>
      <c r="S4" s="19">
        <f t="shared" ref="S4:S33" si="14">R4*0*V4/(1+discount_rate)^A4</f>
        <v>0</v>
      </c>
      <c r="T4" s="23">
        <f t="shared" ref="T4:T33" si="15">R4*0*V4/(1+discount_rate)^A4</f>
        <v>0</v>
      </c>
      <c r="U4" s="49">
        <f t="shared" ref="U4:U33" si="16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 cm="1">
        <f t="array" ref="F5">SUM(pHealthyStage1*C4,(1-SUM(pStage1Remission,pStage1Stage2))*F4,pStage2Stage1*I4,pRemissionStage1_trtB*O4)</f>
        <v>79.5</v>
      </c>
      <c r="G5" s="19">
        <f t="shared" si="3"/>
        <v>159864.26618908474</v>
      </c>
      <c r="H5" s="20">
        <f t="shared" si="4"/>
        <v>87.925346403996599</v>
      </c>
      <c r="I5" s="27" cm="1">
        <f t="array" ref="I5">SUM(pHealthyStage2*C4,pStage1Stage2*F4,(1-SUM(pStage2Remission, pStage2Stage1, pStage2Stage3))*I4,pStage3Stage2*L4,pRemissionStage2_trtB*O4)</f>
        <v>35.900000000000006</v>
      </c>
      <c r="J5" s="19">
        <f t="shared" si="5"/>
        <v>324856.25412385713</v>
      </c>
      <c r="K5" s="20">
        <f t="shared" si="6"/>
        <v>32.034436170547025</v>
      </c>
      <c r="L5" s="27">
        <f t="shared" si="7"/>
        <v>17.200000000000003</v>
      </c>
      <c r="M5" s="19">
        <f t="shared" si="8"/>
        <v>501511.29544097785</v>
      </c>
      <c r="N5" s="20">
        <f t="shared" si="9"/>
        <v>7.7820718258082762</v>
      </c>
      <c r="O5" s="27">
        <f t="shared" si="10"/>
        <v>16.5</v>
      </c>
      <c r="P5" s="19">
        <f t="shared" si="11"/>
        <v>157602.03600716373</v>
      </c>
      <c r="Q5" s="20">
        <f t="shared" si="12"/>
        <v>19.700254500895465</v>
      </c>
      <c r="R5" s="27">
        <f t="shared" si="13"/>
        <v>4.5</v>
      </c>
      <c r="S5" s="19">
        <f t="shared" si="14"/>
        <v>0</v>
      </c>
      <c r="T5" s="23">
        <f t="shared" si="15"/>
        <v>0</v>
      </c>
      <c r="U5" s="49">
        <f t="shared" si="16"/>
        <v>0</v>
      </c>
      <c r="V5" s="54">
        <v>1.3333333333333333</v>
      </c>
      <c r="W5" s="13">
        <f t="shared" ref="W5:X33" si="17">SUM(D5,G5,J5,M5,P5,S5)</f>
        <v>1143833.8517610836</v>
      </c>
      <c r="X5" s="25">
        <f t="shared" si="17"/>
        <v>1211.1930122223271</v>
      </c>
    </row>
    <row r="6" spans="1:24" x14ac:dyDescent="0.2">
      <c r="A6" s="10">
        <v>3</v>
      </c>
      <c r="B6" s="15">
        <f t="shared" ref="B6:B33" si="18">SUM(C5,F5,I5,L5,O5)</f>
        <v>995.50000000000011</v>
      </c>
      <c r="C6" s="27">
        <f t="shared" ref="C6:C33" si="19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 cm="1">
        <f t="array" ref="F6">SUM(pHealthyStage1*C5,(1-SUM(pStage1Remission,pStage1Stage2))*F5,pStage2Stage1*I5,pRemissionStage1_trtB*O5)</f>
        <v>97.11</v>
      </c>
      <c r="G6" s="19">
        <f t="shared" si="3"/>
        <v>94794.033642437687</v>
      </c>
      <c r="H6" s="20">
        <f t="shared" si="4"/>
        <v>52.136718503340724</v>
      </c>
      <c r="I6" s="27" cm="1">
        <f t="array" ref="I6">SUM(pHealthyStage2*C5,pStage1Stage2*F5,(1-SUM(pStage2Remission, pStage2Stage1, pStage2Stage3))*I5,pStage3Stage2*L5,pRemissionStage2_trtB*O5)</f>
        <v>47.773000000000003</v>
      </c>
      <c r="J6" s="19">
        <f t="shared" si="5"/>
        <v>209851.4999629368</v>
      </c>
      <c r="K6" s="20">
        <f t="shared" si="6"/>
        <v>20.693689579678484</v>
      </c>
      <c r="L6" s="27">
        <f t="shared" si="7"/>
        <v>22.449000000000002</v>
      </c>
      <c r="M6" s="19">
        <f t="shared" si="8"/>
        <v>317747.43371400179</v>
      </c>
      <c r="N6" s="20">
        <f t="shared" si="9"/>
        <v>4.9305636265965793</v>
      </c>
      <c r="O6" s="27">
        <f t="shared" si="10"/>
        <v>41.74</v>
      </c>
      <c r="P6" s="19">
        <f t="shared" si="11"/>
        <v>193536.59849776444</v>
      </c>
      <c r="Q6" s="20">
        <f t="shared" si="12"/>
        <v>24.192074812220557</v>
      </c>
      <c r="R6" s="27">
        <f t="shared" si="13"/>
        <v>12.240000000000002</v>
      </c>
      <c r="S6" s="19">
        <f t="shared" si="14"/>
        <v>0</v>
      </c>
      <c r="T6" s="23">
        <f t="shared" si="15"/>
        <v>0</v>
      </c>
      <c r="U6" s="49">
        <f t="shared" si="16"/>
        <v>0</v>
      </c>
      <c r="V6" s="54">
        <v>0.66666666666666663</v>
      </c>
      <c r="W6" s="13">
        <f t="shared" si="17"/>
        <v>815929.56581714074</v>
      </c>
      <c r="X6" s="25">
        <f t="shared" si="17"/>
        <v>577.02626548076512</v>
      </c>
    </row>
    <row r="7" spans="1:24" x14ac:dyDescent="0.2">
      <c r="A7" s="10">
        <v>4</v>
      </c>
      <c r="B7" s="15">
        <f t="shared" si="18"/>
        <v>987.7600000000001</v>
      </c>
      <c r="C7" s="27">
        <f t="shared" si="19"/>
        <v>716.39296000000013</v>
      </c>
      <c r="D7" s="19">
        <f t="shared" si="2"/>
        <v>0</v>
      </c>
      <c r="E7" s="20">
        <f t="shared" si="1"/>
        <v>848.67448823730979</v>
      </c>
      <c r="F7" s="27" cm="1">
        <f t="array" ref="F7">SUM(pHealthyStage1*C6,(1-SUM(pStage1Remission,pStage1Stage2))*F6,pStage2Stage1*I6,pRemissionStage1_trtB*O6)</f>
        <v>107.78375000000001</v>
      </c>
      <c r="G7" s="19">
        <f t="shared" si="3"/>
        <v>204297.52714833632</v>
      </c>
      <c r="H7" s="20">
        <f t="shared" si="4"/>
        <v>112.36363993158498</v>
      </c>
      <c r="I7" s="27" cm="1">
        <f t="array" ref="I7">SUM(pHealthyStage2*C6,pStage1Stage2*F6,(1-SUM(pStage2Remission, pStage2Stage1, pStage2Stage3))*I6,pStage3Stage2*L6,pRemissionStage2_trtB*O6)</f>
        <v>56.323210000000003</v>
      </c>
      <c r="J7" s="19">
        <f t="shared" si="5"/>
        <v>480407.44878753996</v>
      </c>
      <c r="K7" s="20">
        <f t="shared" si="6"/>
        <v>47.373512310993519</v>
      </c>
      <c r="L7" s="27">
        <f t="shared" si="7"/>
        <v>26.177330000000005</v>
      </c>
      <c r="M7" s="19">
        <f t="shared" si="8"/>
        <v>719454.23036419135</v>
      </c>
      <c r="N7" s="20">
        <f t="shared" si="9"/>
        <v>11.163944953927107</v>
      </c>
      <c r="O7" s="27">
        <f t="shared" si="10"/>
        <v>70.980699999999999</v>
      </c>
      <c r="P7" s="19">
        <f t="shared" si="11"/>
        <v>639063.05036682321</v>
      </c>
      <c r="Q7" s="20">
        <f t="shared" si="12"/>
        <v>79.882881295852911</v>
      </c>
      <c r="R7" s="27">
        <f t="shared" si="13"/>
        <v>22.34205</v>
      </c>
      <c r="S7" s="19">
        <f t="shared" si="14"/>
        <v>0</v>
      </c>
      <c r="T7" s="23">
        <f t="shared" si="15"/>
        <v>0</v>
      </c>
      <c r="U7" s="49">
        <f t="shared" si="16"/>
        <v>0</v>
      </c>
      <c r="V7" s="54">
        <v>1.3333333333333333</v>
      </c>
      <c r="W7" s="13">
        <f t="shared" si="17"/>
        <v>2043222.2566668908</v>
      </c>
      <c r="X7" s="25">
        <f t="shared" si="17"/>
        <v>1099.4584667296683</v>
      </c>
    </row>
    <row r="8" spans="1:24" x14ac:dyDescent="0.2">
      <c r="A8" s="10">
        <v>5</v>
      </c>
      <c r="B8" s="15">
        <f t="shared" si="18"/>
        <v>977.65795000000014</v>
      </c>
      <c r="C8" s="27">
        <f t="shared" si="19"/>
        <v>659.08152320000011</v>
      </c>
      <c r="D8" s="19">
        <f t="shared" si="2"/>
        <v>0</v>
      </c>
      <c r="E8" s="20">
        <f t="shared" si="1"/>
        <v>379.01967435841021</v>
      </c>
      <c r="F8" s="27" cm="1">
        <f t="array" ref="F8">SUM(pHealthyStage1*C7,(1-SUM(pStage1Remission,pStage1Stage2))*F7,pStage2Stage1*I7,pRemissionStage1_trtB*O7)</f>
        <v>114.37370200000002</v>
      </c>
      <c r="G8" s="19">
        <f t="shared" si="3"/>
        <v>105237.07738425244</v>
      </c>
      <c r="H8" s="20">
        <f t="shared" si="4"/>
        <v>57.880392561338837</v>
      </c>
      <c r="I8" s="27" cm="1">
        <f t="array" ref="I8">SUM(pHealthyStage2*C7,pStage1Stage2*F7,(1-SUM(pStage2Remission, pStage2Stage1, pStage2Stage3))*I7,pStage3Stage2*L7,pRemissionStage2_trtB*O7)</f>
        <v>62.338447700000003</v>
      </c>
      <c r="J8" s="19">
        <f t="shared" si="5"/>
        <v>258113.72443628538</v>
      </c>
      <c r="K8" s="20">
        <f t="shared" si="6"/>
        <v>25.452881159689252</v>
      </c>
      <c r="L8" s="27">
        <f t="shared" si="7"/>
        <v>28.701076100000002</v>
      </c>
      <c r="M8" s="19">
        <f t="shared" si="8"/>
        <v>382920.64564747369</v>
      </c>
      <c r="N8" s="20">
        <f t="shared" si="9"/>
        <v>5.9418720876332118</v>
      </c>
      <c r="O8" s="27">
        <f t="shared" si="10"/>
        <v>101.38340250000002</v>
      </c>
      <c r="P8" s="19">
        <f t="shared" si="11"/>
        <v>443101.34884209419</v>
      </c>
      <c r="Q8" s="20">
        <f t="shared" si="12"/>
        <v>55.387668605261773</v>
      </c>
      <c r="R8" s="27">
        <f t="shared" si="13"/>
        <v>34.121848499999999</v>
      </c>
      <c r="S8" s="19">
        <f t="shared" si="14"/>
        <v>0</v>
      </c>
      <c r="T8" s="23">
        <f t="shared" si="15"/>
        <v>0</v>
      </c>
      <c r="U8" s="49">
        <f t="shared" si="16"/>
        <v>0</v>
      </c>
      <c r="V8" s="54">
        <v>0.66666666666666663</v>
      </c>
      <c r="W8" s="13">
        <f t="shared" si="17"/>
        <v>1189372.7963101058</v>
      </c>
      <c r="X8" s="25">
        <f t="shared" si="17"/>
        <v>523.68248877233327</v>
      </c>
    </row>
    <row r="9" spans="1:24" x14ac:dyDescent="0.2">
      <c r="A9" s="10">
        <v>6</v>
      </c>
      <c r="B9" s="15">
        <f t="shared" si="18"/>
        <v>965.87815150000006</v>
      </c>
      <c r="C9" s="27">
        <f t="shared" si="19"/>
        <v>606.35500134400013</v>
      </c>
      <c r="D9" s="19">
        <f t="shared" si="2"/>
        <v>0</v>
      </c>
      <c r="E9" s="20">
        <f t="shared" si="1"/>
        <v>677.08369011599495</v>
      </c>
      <c r="F9" s="27" cm="1">
        <f t="array" ref="F9">SUM(pHealthyStage1*C8,(1-SUM(pStage1Remission,pStage1Stage2))*F8,pStage2Stage1*I8,pRemissionStage1_trtB*O8)</f>
        <v>118.52457704500003</v>
      </c>
      <c r="G9" s="19">
        <f t="shared" si="3"/>
        <v>211759.93025125627</v>
      </c>
      <c r="H9" s="20">
        <f t="shared" si="4"/>
        <v>116.46796163819096</v>
      </c>
      <c r="I9" s="27" cm="1">
        <f t="array" ref="I9">SUM(pHealthyStage2*C8,pStage1Stage2*F8,(1-SUM(pStage2Remission, pStage2Stage1, pStage2Stage3))*I8,pStage3Stage2*L8,pRemissionStage2_trtB*O8)</f>
        <v>66.498625164000003</v>
      </c>
      <c r="J9" s="19">
        <f t="shared" si="5"/>
        <v>534638.89599319187</v>
      </c>
      <c r="K9" s="20">
        <f t="shared" si="6"/>
        <v>52.72133557710643</v>
      </c>
      <c r="L9" s="27">
        <f t="shared" si="7"/>
        <v>30.292120437000001</v>
      </c>
      <c r="M9" s="19">
        <f t="shared" si="8"/>
        <v>784753.1147296296</v>
      </c>
      <c r="N9" s="20">
        <f t="shared" si="9"/>
        <v>12.177203504425286</v>
      </c>
      <c r="O9" s="27">
        <f t="shared" si="10"/>
        <v>131.292343265</v>
      </c>
      <c r="P9" s="19">
        <f t="shared" si="11"/>
        <v>1114213.4078097763</v>
      </c>
      <c r="Q9" s="20">
        <f t="shared" si="12"/>
        <v>139.27667597622204</v>
      </c>
      <c r="R9" s="27">
        <f t="shared" si="13"/>
        <v>47.037332745000001</v>
      </c>
      <c r="S9" s="19">
        <f t="shared" si="14"/>
        <v>0</v>
      </c>
      <c r="T9" s="23">
        <f t="shared" si="15"/>
        <v>0</v>
      </c>
      <c r="U9" s="49">
        <f t="shared" si="16"/>
        <v>0</v>
      </c>
      <c r="V9" s="54">
        <v>1.3333333333333333</v>
      </c>
      <c r="W9" s="13">
        <f t="shared" si="17"/>
        <v>2645365.3487838539</v>
      </c>
      <c r="X9" s="25">
        <f t="shared" si="17"/>
        <v>997.72686681193966</v>
      </c>
    </row>
    <row r="10" spans="1:24" x14ac:dyDescent="0.2">
      <c r="A10" s="10">
        <v>7</v>
      </c>
      <c r="B10" s="15">
        <f t="shared" si="18"/>
        <v>952.96266725500016</v>
      </c>
      <c r="C10" s="27">
        <f t="shared" si="19"/>
        <v>557.84660123648018</v>
      </c>
      <c r="D10" s="19">
        <f t="shared" si="2"/>
        <v>0</v>
      </c>
      <c r="E10" s="20">
        <f t="shared" si="1"/>
        <v>302.38689073141524</v>
      </c>
      <c r="F10" s="27" cm="1">
        <f t="array" ref="F10">SUM(pHealthyStage1*C9,(1-SUM(pStage1Remission,pStage1Stage2))*F9,pStage2Stage1*I9,pRemissionStage1_trtB*O9)</f>
        <v>121.18704386585003</v>
      </c>
      <c r="G10" s="19">
        <f t="shared" si="3"/>
        <v>105105.23376225846</v>
      </c>
      <c r="H10" s="20">
        <f t="shared" si="4"/>
        <v>57.807878569242156</v>
      </c>
      <c r="I10" s="27" cm="1">
        <f t="array" ref="I10">SUM(pHealthyStage2*C9,pStage1Stage2*F9,(1-SUM(pStage2Remission, pStage2Stage1, pStage2Stage3))*I9,pStage3Stage2*L9,pRemissionStage2_trtB*O9)</f>
        <v>69.332109149580006</v>
      </c>
      <c r="J10" s="19">
        <f t="shared" si="5"/>
        <v>270592.07718266099</v>
      </c>
      <c r="K10" s="20">
        <f t="shared" si="6"/>
        <v>26.683385388845732</v>
      </c>
      <c r="L10" s="27">
        <f t="shared" si="7"/>
        <v>31.184404006540003</v>
      </c>
      <c r="M10" s="19">
        <f t="shared" si="8"/>
        <v>392169.30737949925</v>
      </c>
      <c r="N10" s="20">
        <f t="shared" si="9"/>
        <v>6.0853858041646429</v>
      </c>
      <c r="O10" s="27">
        <f t="shared" si="10"/>
        <v>159.78105479990001</v>
      </c>
      <c r="P10" s="19">
        <f t="shared" si="11"/>
        <v>658244.20461184857</v>
      </c>
      <c r="Q10" s="20">
        <f t="shared" si="12"/>
        <v>82.280525576481068</v>
      </c>
      <c r="R10" s="27">
        <f t="shared" si="13"/>
        <v>60.668786941649998</v>
      </c>
      <c r="S10" s="19">
        <f t="shared" si="14"/>
        <v>0</v>
      </c>
      <c r="T10" s="23">
        <f t="shared" si="15"/>
        <v>0</v>
      </c>
      <c r="U10" s="49">
        <f t="shared" si="16"/>
        <v>0</v>
      </c>
      <c r="V10" s="54">
        <v>0.66666666666666663</v>
      </c>
      <c r="W10" s="13">
        <f t="shared" si="17"/>
        <v>1426110.8229362674</v>
      </c>
      <c r="X10" s="25">
        <f t="shared" si="17"/>
        <v>475.24406607014885</v>
      </c>
    </row>
    <row r="11" spans="1:24" x14ac:dyDescent="0.2">
      <c r="A11" s="10">
        <v>8</v>
      </c>
      <c r="B11" s="15">
        <f t="shared" si="18"/>
        <v>939.33121305835016</v>
      </c>
      <c r="C11" s="27">
        <f t="shared" si="19"/>
        <v>513.21887313756179</v>
      </c>
      <c r="D11" s="19">
        <f t="shared" si="2"/>
        <v>0</v>
      </c>
      <c r="E11" s="20">
        <f t="shared" si="1"/>
        <v>540.18629023864469</v>
      </c>
      <c r="F11" s="27" cm="1">
        <f t="array" ref="F11">SUM(pHealthyStage1*C10,(1-SUM(pStage1Remission,pStage1Stage2))*F10,pStage2Stage1*I10,pRemissionStage1_trtB*O10)</f>
        <v>122.91299841609754</v>
      </c>
      <c r="G11" s="19">
        <f t="shared" si="3"/>
        <v>206994.46606268064</v>
      </c>
      <c r="H11" s="20">
        <f t="shared" si="4"/>
        <v>113.84695633447436</v>
      </c>
      <c r="I11" s="27" cm="1">
        <f t="array" ref="I11">SUM(pHealthyStage2*C10,pStage1Stage2*F10,(1-SUM(pStage2Remission, pStage2Stage1, pStage2Stage3))*I10,pStage3Stage2*L10,pRemissionStage2_trtB*O10)</f>
        <v>71.227553745386601</v>
      </c>
      <c r="J11" s="19">
        <f t="shared" si="5"/>
        <v>539785.81117632333</v>
      </c>
      <c r="K11" s="20">
        <f t="shared" si="6"/>
        <v>53.228878602109653</v>
      </c>
      <c r="L11" s="27">
        <f t="shared" si="7"/>
        <v>31.570484388071804</v>
      </c>
      <c r="M11" s="19">
        <f t="shared" si="8"/>
        <v>770921.52034509543</v>
      </c>
      <c r="N11" s="20">
        <f t="shared" si="9"/>
        <v>11.962575315699755</v>
      </c>
      <c r="O11" s="27">
        <f t="shared" si="10"/>
        <v>186.3683215682895</v>
      </c>
      <c r="P11" s="19">
        <f t="shared" si="11"/>
        <v>1490824.8568332475</v>
      </c>
      <c r="Q11" s="20">
        <f t="shared" si="12"/>
        <v>186.3531071041559</v>
      </c>
      <c r="R11" s="27">
        <f t="shared" si="13"/>
        <v>74.701768744592997</v>
      </c>
      <c r="S11" s="19">
        <f t="shared" si="14"/>
        <v>0</v>
      </c>
      <c r="T11" s="23">
        <f t="shared" si="15"/>
        <v>0</v>
      </c>
      <c r="U11" s="49">
        <f t="shared" si="16"/>
        <v>0</v>
      </c>
      <c r="V11" s="54">
        <v>1.3333333333333333</v>
      </c>
      <c r="W11" s="13">
        <f t="shared" si="17"/>
        <v>3008526.6544173467</v>
      </c>
      <c r="X11" s="25">
        <f t="shared" si="17"/>
        <v>905.57780759508432</v>
      </c>
    </row>
    <row r="12" spans="1:24" x14ac:dyDescent="0.2">
      <c r="A12" s="10">
        <v>9</v>
      </c>
      <c r="B12" s="15">
        <f t="shared" si="18"/>
        <v>925.29823125540713</v>
      </c>
      <c r="C12" s="27">
        <f t="shared" si="19"/>
        <v>472.16136328655688</v>
      </c>
      <c r="D12" s="19">
        <f t="shared" si="2"/>
        <v>0</v>
      </c>
      <c r="E12" s="20">
        <f t="shared" si="1"/>
        <v>241.2482461259967</v>
      </c>
      <c r="F12" s="27" cm="1">
        <f t="array" ref="F12">SUM(pHealthyStage1*C11,(1-SUM(pStage1Remission,pStage1Stage2))*F11,pStage2Stage1*I11,pRemissionStage1_trtB*O11)</f>
        <v>124.02523604007398</v>
      </c>
      <c r="G12" s="19">
        <f t="shared" si="3"/>
        <v>101392.01720957922</v>
      </c>
      <c r="H12" s="20">
        <f t="shared" si="4"/>
        <v>55.765609465268575</v>
      </c>
      <c r="I12" s="27" cm="1">
        <f t="array" ref="I12">SUM(pHealthyStage2*C11,pStage1Stage2*F11,(1-SUM(pStage2Remission, pStage2Stage1, pStage2Stage3))*I11,pStage3Stage2*L11,pRemissionStage2_trtB*O11)</f>
        <v>72.461783418045229</v>
      </c>
      <c r="J12" s="19">
        <f t="shared" si="5"/>
        <v>266572.43168183917</v>
      </c>
      <c r="K12" s="20">
        <f t="shared" si="6"/>
        <v>26.28700367973692</v>
      </c>
      <c r="L12" s="27">
        <f t="shared" si="7"/>
        <v>31.60156398721951</v>
      </c>
      <c r="M12" s="19">
        <f t="shared" si="8"/>
        <v>374602.1625775742</v>
      </c>
      <c r="N12" s="20">
        <f t="shared" si="9"/>
        <v>5.8127921779278759</v>
      </c>
      <c r="O12" s="27">
        <f t="shared" si="10"/>
        <v>210.84156654887937</v>
      </c>
      <c r="P12" s="19">
        <f t="shared" si="11"/>
        <v>818735.35601479094</v>
      </c>
      <c r="Q12" s="20">
        <f t="shared" si="12"/>
        <v>102.34191950184886</v>
      </c>
      <c r="R12" s="27">
        <f t="shared" si="13"/>
        <v>88.908486719225309</v>
      </c>
      <c r="S12" s="19">
        <f t="shared" si="14"/>
        <v>0</v>
      </c>
      <c r="T12" s="23">
        <f t="shared" si="15"/>
        <v>0</v>
      </c>
      <c r="U12" s="49">
        <f t="shared" si="16"/>
        <v>0</v>
      </c>
      <c r="V12" s="54">
        <v>0.66666666666666663</v>
      </c>
      <c r="W12" s="13">
        <f t="shared" si="17"/>
        <v>1561301.9674837836</v>
      </c>
      <c r="X12" s="25">
        <f t="shared" si="17"/>
        <v>431.45557095077891</v>
      </c>
    </row>
    <row r="13" spans="1:24" x14ac:dyDescent="0.2">
      <c r="A13" s="10">
        <v>10</v>
      </c>
      <c r="B13" s="15">
        <f t="shared" si="18"/>
        <v>911.09151328077496</v>
      </c>
      <c r="C13" s="27">
        <f t="shared" si="19"/>
        <v>434.38845422363232</v>
      </c>
      <c r="D13" s="19">
        <f t="shared" si="2"/>
        <v>0</v>
      </c>
      <c r="E13" s="20">
        <f t="shared" si="1"/>
        <v>430.96774065226595</v>
      </c>
      <c r="F13" s="27" cm="1">
        <f t="array" ref="F13">SUM(pHealthyStage1*C12,(1-SUM(pStage1Remission,pStage1Stage2))*F12,pStage2Stage1*I12,pRemissionStage1_trtB*O12)</f>
        <v>124.71488608518855</v>
      </c>
      <c r="G13" s="19">
        <f t="shared" si="3"/>
        <v>197972.45404379105</v>
      </c>
      <c r="H13" s="20">
        <f t="shared" si="4"/>
        <v>108.88484972408509</v>
      </c>
      <c r="I13" s="27" cm="1">
        <f t="array" ref="I13">SUM(pHealthyStage2*C12,pStage1Stage2*F12,(1-SUM(pStage2Remission, pStage2Stage1, pStage2Stage3))*I12,pStage3Stage2*L12,pRemissionStage2_trtB*O12)</f>
        <v>73.22814611639302</v>
      </c>
      <c r="J13" s="19">
        <f t="shared" si="5"/>
        <v>523090.73207401246</v>
      </c>
      <c r="K13" s="20">
        <f t="shared" si="6"/>
        <v>51.582558301742893</v>
      </c>
      <c r="L13" s="27">
        <f t="shared" si="7"/>
        <v>31.391663139182107</v>
      </c>
      <c r="M13" s="19">
        <f t="shared" si="8"/>
        <v>722551.48809626</v>
      </c>
      <c r="N13" s="20">
        <f t="shared" si="9"/>
        <v>11.212005849769552</v>
      </c>
      <c r="O13" s="27">
        <f t="shared" si="10"/>
        <v>233.14765992213017</v>
      </c>
      <c r="P13" s="19">
        <f t="shared" si="11"/>
        <v>1757968.7175407438</v>
      </c>
      <c r="Q13" s="20">
        <f t="shared" si="12"/>
        <v>219.74608969259299</v>
      </c>
      <c r="R13" s="27">
        <f t="shared" si="13"/>
        <v>103.12919051347409</v>
      </c>
      <c r="S13" s="19">
        <f t="shared" si="14"/>
        <v>0</v>
      </c>
      <c r="T13" s="23">
        <f t="shared" si="15"/>
        <v>0</v>
      </c>
      <c r="U13" s="49">
        <f t="shared" si="16"/>
        <v>0</v>
      </c>
      <c r="V13" s="54">
        <v>1.3333333333333333</v>
      </c>
      <c r="W13" s="13">
        <f t="shared" si="17"/>
        <v>3201583.391754807</v>
      </c>
      <c r="X13" s="25">
        <f t="shared" si="17"/>
        <v>822.39324422045638</v>
      </c>
    </row>
    <row r="14" spans="1:24" x14ac:dyDescent="0.2">
      <c r="A14" s="10">
        <v>11</v>
      </c>
      <c r="B14" s="15">
        <f t="shared" si="18"/>
        <v>896.87080948652613</v>
      </c>
      <c r="C14" s="27">
        <f t="shared" si="19"/>
        <v>399.63737788574173</v>
      </c>
      <c r="D14" s="19">
        <f t="shared" si="2"/>
        <v>0</v>
      </c>
      <c r="E14" s="20">
        <f t="shared" si="1"/>
        <v>192.47102980586635</v>
      </c>
      <c r="F14" s="27" cm="1">
        <f t="array" ref="F14">SUM(pHealthyStage1*C13,(1-SUM(pStage1Remission,pStage1Stage2))*F13,pStage2Stage1*I13,pRemissionStage1_trtB*O13)</f>
        <v>125.09731876614426</v>
      </c>
      <c r="G14" s="19">
        <f t="shared" si="3"/>
        <v>96397.829036928233</v>
      </c>
      <c r="H14" s="20">
        <f t="shared" si="4"/>
        <v>53.018805970310538</v>
      </c>
      <c r="I14" s="27" cm="1">
        <f t="array" ref="I14">SUM(pHealthyStage2*C13,pStage1Stage2*F13,(1-SUM(pStage2Remission, pStage2Stage1, pStage2Stage3))*I13,pStage3Stage2*L13,pRemissionStage2_trtB*O13)</f>
        <v>73.660158317450339</v>
      </c>
      <c r="J14" s="19">
        <f t="shared" si="5"/>
        <v>255425.59490956514</v>
      </c>
      <c r="K14" s="20">
        <f t="shared" si="6"/>
        <v>25.187801720248782</v>
      </c>
      <c r="L14" s="27">
        <f t="shared" si="7"/>
        <v>31.023938029286331</v>
      </c>
      <c r="M14" s="19">
        <f t="shared" si="8"/>
        <v>346644.39177114645</v>
      </c>
      <c r="N14" s="20">
        <f t="shared" si="9"/>
        <v>5.3789646998971001</v>
      </c>
      <c r="O14" s="27">
        <f t="shared" si="10"/>
        <v>253.32576807527158</v>
      </c>
      <c r="P14" s="19">
        <f t="shared" si="11"/>
        <v>927240.15215938503</v>
      </c>
      <c r="Q14" s="20">
        <f t="shared" si="12"/>
        <v>115.90501901992312</v>
      </c>
      <c r="R14" s="27">
        <f t="shared" si="13"/>
        <v>117.25543892610604</v>
      </c>
      <c r="S14" s="19">
        <f t="shared" si="14"/>
        <v>0</v>
      </c>
      <c r="T14" s="23">
        <f t="shared" si="15"/>
        <v>0</v>
      </c>
      <c r="U14" s="49">
        <f t="shared" si="16"/>
        <v>0</v>
      </c>
      <c r="V14" s="54">
        <v>0.66666666666666663</v>
      </c>
      <c r="W14" s="13">
        <f t="shared" si="17"/>
        <v>1625707.9678770248</v>
      </c>
      <c r="X14" s="25">
        <f t="shared" si="17"/>
        <v>391.96162121624593</v>
      </c>
    </row>
    <row r="15" spans="1:24" x14ac:dyDescent="0.2">
      <c r="A15" s="10">
        <v>12</v>
      </c>
      <c r="B15" s="15">
        <f t="shared" si="18"/>
        <v>882.74456107389437</v>
      </c>
      <c r="C15" s="27">
        <f t="shared" si="19"/>
        <v>367.66638765488239</v>
      </c>
      <c r="D15" s="19">
        <f t="shared" si="2"/>
        <v>0</v>
      </c>
      <c r="E15" s="20">
        <f t="shared" si="1"/>
        <v>343.83174256581952</v>
      </c>
      <c r="F15" s="27" cm="1">
        <f t="array" ref="F15">SUM(pHealthyStage1*C14,(1-SUM(pStage1Remission,pStage1Stage2))*F14,pStage2Stage1*I14,pRemissionStage1_trtB*O14)</f>
        <v>125.2441954541751</v>
      </c>
      <c r="G15" s="19">
        <f t="shared" si="3"/>
        <v>187400.01877869788</v>
      </c>
      <c r="H15" s="20">
        <f t="shared" si="4"/>
        <v>103.07001032828386</v>
      </c>
      <c r="I15" s="27" cm="1">
        <f t="array" ref="I15">SUM(pHealthyStage2*C14,pStage1Stage2*F14,(1-SUM(pStage2Remission, pStage2Stage1, pStage2Stage3))*I14,pStage3Stage2*L14,pRemissionStage2_trtB*O14)</f>
        <v>73.849544368521933</v>
      </c>
      <c r="J15" s="19">
        <f t="shared" si="5"/>
        <v>497247.21198239579</v>
      </c>
      <c r="K15" s="20">
        <f t="shared" si="6"/>
        <v>49.034100070486261</v>
      </c>
      <c r="L15" s="27">
        <f t="shared" si="7"/>
        <v>30.557366541118135</v>
      </c>
      <c r="M15" s="19">
        <f t="shared" si="8"/>
        <v>662973.16312004684</v>
      </c>
      <c r="N15" s="20">
        <f t="shared" si="9"/>
        <v>10.287514600138659</v>
      </c>
      <c r="O15" s="27">
        <f t="shared" si="10"/>
        <v>271.46629494201784</v>
      </c>
      <c r="P15" s="19">
        <f t="shared" si="11"/>
        <v>1929396.7738850098</v>
      </c>
      <c r="Q15" s="20">
        <f t="shared" si="12"/>
        <v>241.17459673562621</v>
      </c>
      <c r="R15" s="27">
        <f t="shared" si="13"/>
        <v>131.2162110392849</v>
      </c>
      <c r="S15" s="19">
        <f t="shared" si="14"/>
        <v>0</v>
      </c>
      <c r="T15" s="23">
        <f t="shared" si="15"/>
        <v>0</v>
      </c>
      <c r="U15" s="49">
        <f t="shared" si="16"/>
        <v>0</v>
      </c>
      <c r="V15" s="54">
        <v>1.3333333333333333</v>
      </c>
      <c r="W15" s="13">
        <f t="shared" si="17"/>
        <v>3277017.1677661501</v>
      </c>
      <c r="X15" s="25">
        <f t="shared" si="17"/>
        <v>747.39796430035449</v>
      </c>
    </row>
    <row r="16" spans="1:24" x14ac:dyDescent="0.2">
      <c r="A16" s="10">
        <v>13</v>
      </c>
      <c r="B16" s="15">
        <f t="shared" si="18"/>
        <v>868.78378896071536</v>
      </c>
      <c r="C16" s="27">
        <f t="shared" si="19"/>
        <v>338.25307664249181</v>
      </c>
      <c r="D16" s="19">
        <f t="shared" si="2"/>
        <v>0</v>
      </c>
      <c r="E16" s="20">
        <f t="shared" si="1"/>
        <v>153.5559238643466</v>
      </c>
      <c r="F16" s="27" cm="1">
        <f t="array" ref="F16">SUM(pHealthyStage1*C15,(1-SUM(pStage1Remission,pStage1Stage2))*F15,pStage2Stage1*I15,pRemissionStage1_trtB*O15)</f>
        <v>125.20182724174546</v>
      </c>
      <c r="G16" s="19">
        <f t="shared" si="3"/>
        <v>90940.10883185167</v>
      </c>
      <c r="H16" s="20">
        <f t="shared" si="4"/>
        <v>50.017059857518419</v>
      </c>
      <c r="I16" s="27" cm="1">
        <f t="array" ref="I16">SUM(pHealthyStage2*C15,pStage1Stage2*F15,(1-SUM(pStage2Remission, pStage2Stage1, pStage2Stage3))*I15,pStage3Stage2*L15,pRemissionStage2_trtB*O15)</f>
        <v>73.859331094944764</v>
      </c>
      <c r="J16" s="19">
        <f t="shared" si="5"/>
        <v>241414.13030449164</v>
      </c>
      <c r="K16" s="20">
        <f t="shared" si="6"/>
        <v>23.806115627248481</v>
      </c>
      <c r="L16" s="27">
        <f t="shared" si="7"/>
        <v>30.032778802386183</v>
      </c>
      <c r="M16" s="19">
        <f t="shared" si="8"/>
        <v>316306.6496570154</v>
      </c>
      <c r="N16" s="20">
        <f t="shared" si="9"/>
        <v>4.9082066326088585</v>
      </c>
      <c r="O16" s="27">
        <f t="shared" si="10"/>
        <v>287.68596023564407</v>
      </c>
      <c r="P16" s="19">
        <f t="shared" si="11"/>
        <v>992560.70993974188</v>
      </c>
      <c r="Q16" s="20">
        <f t="shared" si="12"/>
        <v>124.07008874246775</v>
      </c>
      <c r="R16" s="27">
        <f t="shared" si="13"/>
        <v>144.96702598278807</v>
      </c>
      <c r="S16" s="19">
        <f t="shared" si="14"/>
        <v>0</v>
      </c>
      <c r="T16" s="23">
        <f t="shared" si="15"/>
        <v>0</v>
      </c>
      <c r="U16" s="49">
        <f t="shared" si="16"/>
        <v>0</v>
      </c>
      <c r="V16" s="54">
        <v>0.66666666666666663</v>
      </c>
      <c r="W16" s="13">
        <f t="shared" si="17"/>
        <v>1641221.5987331006</v>
      </c>
      <c r="X16" s="25">
        <f t="shared" si="17"/>
        <v>356.3573947241901</v>
      </c>
    </row>
    <row r="17" spans="1:24" x14ac:dyDescent="0.2">
      <c r="A17" s="10">
        <v>14</v>
      </c>
      <c r="B17" s="15">
        <f t="shared" si="18"/>
        <v>855.03297401721227</v>
      </c>
      <c r="C17" s="27">
        <f t="shared" si="19"/>
        <v>311.1928305110925</v>
      </c>
      <c r="D17" s="19">
        <f t="shared" si="2"/>
        <v>0</v>
      </c>
      <c r="E17" s="20">
        <f t="shared" si="1"/>
        <v>274.31349505863858</v>
      </c>
      <c r="F17" s="27" cm="1">
        <f t="array" ref="F17">SUM(pHealthyStage1*C16,(1-SUM(pStage1Remission,pStage1Stage2))*F16,pStage2Stage1*I16,pRemissionStage1_trtB*O16)</f>
        <v>125.00168491285791</v>
      </c>
      <c r="G17" s="19">
        <f t="shared" si="3"/>
        <v>176300.45792686721</v>
      </c>
      <c r="H17" s="20">
        <f t="shared" si="4"/>
        <v>96.965251859776984</v>
      </c>
      <c r="I17" s="27" cm="1">
        <f t="array" ref="I17">SUM(pHealthyStage2*C16,pStage1Stage2*F16,(1-SUM(pStage2Remission, pStage2Stage1, pStage2Stage3))*I16,pStage3Stage2*L16,pRemissionStage2_trtB*O16)</f>
        <v>73.733060661179877</v>
      </c>
      <c r="J17" s="19">
        <f t="shared" si="5"/>
        <v>467963.89709385979</v>
      </c>
      <c r="K17" s="20">
        <f t="shared" si="6"/>
        <v>46.146439852311168</v>
      </c>
      <c r="L17" s="27">
        <f t="shared" si="7"/>
        <v>29.477819831859723</v>
      </c>
      <c r="M17" s="19">
        <f t="shared" si="8"/>
        <v>602838.43782305578</v>
      </c>
      <c r="N17" s="20">
        <f t="shared" si="9"/>
        <v>9.354389552426726</v>
      </c>
      <c r="O17" s="27">
        <f t="shared" si="10"/>
        <v>302.11282763914858</v>
      </c>
      <c r="P17" s="19">
        <f t="shared" si="11"/>
        <v>2023952.6531469866</v>
      </c>
      <c r="Q17" s="20">
        <f t="shared" si="12"/>
        <v>252.99408164337325</v>
      </c>
      <c r="R17" s="27">
        <f t="shared" si="13"/>
        <v>158.48177644386186</v>
      </c>
      <c r="S17" s="19">
        <f t="shared" si="14"/>
        <v>0</v>
      </c>
      <c r="T17" s="23">
        <f t="shared" si="15"/>
        <v>0</v>
      </c>
      <c r="U17" s="49">
        <f t="shared" si="16"/>
        <v>0</v>
      </c>
      <c r="V17" s="54">
        <v>1.3333333333333333</v>
      </c>
      <c r="W17" s="13">
        <f t="shared" si="17"/>
        <v>3271055.4459907692</v>
      </c>
      <c r="X17" s="25">
        <f t="shared" si="17"/>
        <v>679.77365796652668</v>
      </c>
    </row>
    <row r="18" spans="1:24" x14ac:dyDescent="0.2">
      <c r="A18" s="10">
        <v>15</v>
      </c>
      <c r="B18" s="15">
        <f t="shared" si="18"/>
        <v>841.51822355613854</v>
      </c>
      <c r="C18" s="27">
        <f t="shared" si="19"/>
        <v>286.29740407020512</v>
      </c>
      <c r="D18" s="19">
        <f t="shared" si="2"/>
        <v>0</v>
      </c>
      <c r="E18" s="20">
        <f t="shared" si="1"/>
        <v>122.5089395407512</v>
      </c>
      <c r="F18" s="27" cm="1">
        <f t="array" ref="F18">SUM(pHealthyStage1*C17,(1-SUM(pStage1Remission,pStage1Stage2))*F17,pStage2Stage1*I17,pRemissionStage1_trtB*O17)</f>
        <v>124.66641596310313</v>
      </c>
      <c r="G18" s="19">
        <f t="shared" si="3"/>
        <v>85353.203760049728</v>
      </c>
      <c r="H18" s="20">
        <f t="shared" si="4"/>
        <v>46.944262068027349</v>
      </c>
      <c r="I18" s="27" cm="1">
        <f t="array" ref="I18">SUM(pHealthyStage2*C17,pStage1Stage2*F17,(1-SUM(pStage2Remission, pStage2Stage1, pStage2Stage3))*I17,pStage3Stage2*L17,pRemissionStage2_trtB*O17)</f>
        <v>73.501137318982998</v>
      </c>
      <c r="J18" s="19">
        <f t="shared" si="5"/>
        <v>226452.39905009273</v>
      </c>
      <c r="K18" s="20">
        <f t="shared" si="6"/>
        <v>22.330722684106366</v>
      </c>
      <c r="L18" s="27">
        <f t="shared" si="7"/>
        <v>28.910797320217767</v>
      </c>
      <c r="M18" s="19">
        <f t="shared" si="8"/>
        <v>287010.92234328354</v>
      </c>
      <c r="N18" s="20">
        <f t="shared" si="9"/>
        <v>4.4536177604992275</v>
      </c>
      <c r="O18" s="27">
        <f t="shared" si="10"/>
        <v>314.87744995929273</v>
      </c>
      <c r="P18" s="19">
        <f t="shared" si="11"/>
        <v>1024013.1229923997</v>
      </c>
      <c r="Q18" s="20">
        <f t="shared" si="12"/>
        <v>128.00164037404994</v>
      </c>
      <c r="R18" s="27">
        <f t="shared" si="13"/>
        <v>171.74679536819875</v>
      </c>
      <c r="S18" s="19">
        <f t="shared" si="14"/>
        <v>0</v>
      </c>
      <c r="T18" s="23">
        <f t="shared" si="15"/>
        <v>0</v>
      </c>
      <c r="U18" s="49">
        <f t="shared" si="16"/>
        <v>0</v>
      </c>
      <c r="V18" s="54">
        <v>0.66666666666666663</v>
      </c>
      <c r="W18" s="13">
        <f t="shared" si="17"/>
        <v>1622829.6481458256</v>
      </c>
      <c r="X18" s="25">
        <f t="shared" si="17"/>
        <v>324.23918242743412</v>
      </c>
    </row>
    <row r="19" spans="1:24" x14ac:dyDescent="0.2">
      <c r="A19" s="10">
        <v>16</v>
      </c>
      <c r="B19" s="15">
        <f t="shared" si="18"/>
        <v>828.25320463180174</v>
      </c>
      <c r="C19" s="27">
        <f t="shared" si="19"/>
        <v>263.39361174458872</v>
      </c>
      <c r="D19" s="19">
        <f t="shared" si="2"/>
        <v>0</v>
      </c>
      <c r="E19" s="20">
        <f t="shared" si="1"/>
        <v>218.850921121342</v>
      </c>
      <c r="F19" s="27" cm="1">
        <f t="array" ref="F19">SUM(pHealthyStage1*C18,(1-SUM(pStage1Remission,pStage1Stage2))*F18,pStage2Stage1*I18,pRemissionStage1_trtB*O18)</f>
        <v>124.21329344221985</v>
      </c>
      <c r="G19" s="19">
        <f t="shared" si="3"/>
        <v>165131.98482098783</v>
      </c>
      <c r="H19" s="20">
        <f t="shared" si="4"/>
        <v>90.822591651543306</v>
      </c>
      <c r="I19" s="27" cm="1">
        <f t="array" ref="I19">SUM(pHealthyStage2*C18,pStage1Stage2*F18,(1-SUM(pStage2Remission, pStage2Stage1, pStage2Stage3))*I18,pStage3Stage2*L18,pRemissionStage2_trtB*O18)</f>
        <v>73.18513543389389</v>
      </c>
      <c r="J19" s="19">
        <f t="shared" si="5"/>
        <v>437822.9457095922</v>
      </c>
      <c r="K19" s="20">
        <f t="shared" si="6"/>
        <v>43.174207146362569</v>
      </c>
      <c r="L19" s="27">
        <f t="shared" si="7"/>
        <v>28.343543298658382</v>
      </c>
      <c r="M19" s="19">
        <f t="shared" si="8"/>
        <v>546368.01557147107</v>
      </c>
      <c r="N19" s="20">
        <f t="shared" si="9"/>
        <v>8.4781243795573094</v>
      </c>
      <c r="O19" s="27">
        <f t="shared" si="10"/>
        <v>326.10776191834293</v>
      </c>
      <c r="P19" s="19">
        <f t="shared" si="11"/>
        <v>2059291.7019524986</v>
      </c>
      <c r="Q19" s="20">
        <f t="shared" si="12"/>
        <v>257.41146274406231</v>
      </c>
      <c r="R19" s="27">
        <f t="shared" si="13"/>
        <v>184.75665416229674</v>
      </c>
      <c r="S19" s="19">
        <f t="shared" si="14"/>
        <v>0</v>
      </c>
      <c r="T19" s="23">
        <f t="shared" si="15"/>
        <v>0</v>
      </c>
      <c r="U19" s="49">
        <f t="shared" si="16"/>
        <v>0</v>
      </c>
      <c r="V19" s="54">
        <v>1.3333333333333333</v>
      </c>
      <c r="W19" s="13">
        <f t="shared" si="17"/>
        <v>3208614.6480545495</v>
      </c>
      <c r="X19" s="25">
        <f t="shared" si="17"/>
        <v>618.73730704286754</v>
      </c>
    </row>
    <row r="20" spans="1:24" x14ac:dyDescent="0.2">
      <c r="A20" s="10">
        <v>17</v>
      </c>
      <c r="B20" s="15">
        <f t="shared" si="18"/>
        <v>815.24334583770383</v>
      </c>
      <c r="C20" s="27">
        <f t="shared" si="19"/>
        <v>242.32212280502165</v>
      </c>
      <c r="D20" s="19">
        <f t="shared" si="2"/>
        <v>0</v>
      </c>
      <c r="E20" s="20">
        <f t="shared" si="1"/>
        <v>97.739246326036238</v>
      </c>
      <c r="F20" s="27" cm="1">
        <f t="array" ref="F20">SUM(pHealthyStage1*C19,(1-SUM(pStage1Remission,pStage1Stage2))*F19,pStage2Stage1*I19,pRemissionStage1_trtB*O19)</f>
        <v>123.65619904983447</v>
      </c>
      <c r="G20" s="19">
        <f t="shared" si="3"/>
        <v>79801.636326191379</v>
      </c>
      <c r="H20" s="20">
        <f t="shared" si="4"/>
        <v>43.890899979405262</v>
      </c>
      <c r="I20" s="27" cm="1">
        <f t="array" ref="I20">SUM(pHealthyStage2*C19,pStage1Stage2*F19,(1-SUM(pStage2Remission, pStage2Stage1, pStage2Stage3))*I19,pStage3Stage2*L19,pRemissionStage2_trtB*O19)</f>
        <v>72.800692861933285</v>
      </c>
      <c r="J20" s="19">
        <f t="shared" si="5"/>
        <v>211418.95896174564</v>
      </c>
      <c r="K20" s="20">
        <f t="shared" si="6"/>
        <v>20.848258453172143</v>
      </c>
      <c r="L20" s="27">
        <f t="shared" si="7"/>
        <v>27.783478081859162</v>
      </c>
      <c r="M20" s="19">
        <f t="shared" si="8"/>
        <v>259986.33264345783</v>
      </c>
      <c r="N20" s="20">
        <f t="shared" si="9"/>
        <v>4.0342706789502074</v>
      </c>
      <c r="O20" s="27">
        <f t="shared" si="10"/>
        <v>335.92625855465894</v>
      </c>
      <c r="P20" s="19">
        <f t="shared" si="11"/>
        <v>1029753.9491511352</v>
      </c>
      <c r="Q20" s="20">
        <f t="shared" si="12"/>
        <v>128.7192436438919</v>
      </c>
      <c r="R20" s="27">
        <f t="shared" si="13"/>
        <v>197.51124864669302</v>
      </c>
      <c r="S20" s="19">
        <f t="shared" si="14"/>
        <v>0</v>
      </c>
      <c r="T20" s="23">
        <f t="shared" si="15"/>
        <v>0</v>
      </c>
      <c r="U20" s="49">
        <f t="shared" si="16"/>
        <v>0</v>
      </c>
      <c r="V20" s="54">
        <v>0.66666666666666663</v>
      </c>
      <c r="W20" s="13">
        <f t="shared" si="17"/>
        <v>1580960.8770825299</v>
      </c>
      <c r="X20" s="25">
        <f t="shared" si="17"/>
        <v>295.23191908145577</v>
      </c>
    </row>
    <row r="21" spans="1:24" x14ac:dyDescent="0.2">
      <c r="A21" s="10">
        <v>18</v>
      </c>
      <c r="B21" s="15">
        <f t="shared" si="18"/>
        <v>802.48875135330752</v>
      </c>
      <c r="C21" s="27">
        <f t="shared" si="19"/>
        <v>222.93635298061992</v>
      </c>
      <c r="D21" s="19">
        <f t="shared" si="2"/>
        <v>0</v>
      </c>
      <c r="E21" s="20">
        <f t="shared" si="1"/>
        <v>174.60214877660846</v>
      </c>
      <c r="F21" s="27" cm="1">
        <f t="array" ref="F21">SUM(pHealthyStage1*C20,(1-SUM(pStage1Remission,pStage1Stage2))*F20,pStage2Stage1*I20,pRemissionStage1_trtB*O20)</f>
        <v>123.00677085011289</v>
      </c>
      <c r="G21" s="19">
        <f t="shared" si="3"/>
        <v>154140.82964831585</v>
      </c>
      <c r="H21" s="20">
        <f t="shared" si="4"/>
        <v>84.777456306573711</v>
      </c>
      <c r="I21" s="27" cm="1">
        <f t="array" ref="I21">SUM(pHealthyStage2*C20,pStage1Stage2*F20,(1-SUM(pStage2Remission, pStage2Stage1, pStage2Stage3))*I20,pStage3Stage2*L20,pRemissionStage2_trtB*O20)</f>
        <v>72.359439738976576</v>
      </c>
      <c r="J21" s="19">
        <f t="shared" si="5"/>
        <v>408034.02924297797</v>
      </c>
      <c r="K21" s="20">
        <f t="shared" si="6"/>
        <v>40.236688994793653</v>
      </c>
      <c r="L21" s="27">
        <f t="shared" si="7"/>
        <v>27.235064198269789</v>
      </c>
      <c r="M21" s="19">
        <f t="shared" si="8"/>
        <v>494863.10996934574</v>
      </c>
      <c r="N21" s="20">
        <f t="shared" si="9"/>
        <v>7.678910327110537</v>
      </c>
      <c r="O21" s="27">
        <f t="shared" si="10"/>
        <v>344.44855844849172</v>
      </c>
      <c r="P21" s="19">
        <f t="shared" si="11"/>
        <v>2050249.221782973</v>
      </c>
      <c r="Q21" s="20">
        <f t="shared" si="12"/>
        <v>256.28115272287158</v>
      </c>
      <c r="R21" s="27">
        <f t="shared" si="13"/>
        <v>210.01381378352966</v>
      </c>
      <c r="S21" s="19">
        <f t="shared" si="14"/>
        <v>0</v>
      </c>
      <c r="T21" s="23">
        <f t="shared" si="15"/>
        <v>0</v>
      </c>
      <c r="U21" s="49">
        <f t="shared" si="16"/>
        <v>0</v>
      </c>
      <c r="V21" s="54">
        <v>1.3333333333333333</v>
      </c>
      <c r="W21" s="13">
        <f t="shared" si="17"/>
        <v>3107287.1906436128</v>
      </c>
      <c r="X21" s="25">
        <f t="shared" si="17"/>
        <v>563.57635712795798</v>
      </c>
    </row>
    <row r="22" spans="1:24" x14ac:dyDescent="0.2">
      <c r="A22" s="10">
        <v>19</v>
      </c>
      <c r="B22" s="15">
        <f t="shared" si="18"/>
        <v>789.98618621647097</v>
      </c>
      <c r="C22" s="27">
        <f t="shared" si="19"/>
        <v>205.10144474217034</v>
      </c>
      <c r="D22" s="19">
        <f t="shared" si="2"/>
        <v>0</v>
      </c>
      <c r="E22" s="20">
        <f t="shared" si="1"/>
        <v>77.977658676931924</v>
      </c>
      <c r="F22" s="27" cm="1">
        <f t="array" ref="F22">SUM(pHealthyStage1*C21,(1-SUM(pStage1Remission,pStage1Stage2))*F21,pStage2Stage1*I21,pRemissionStage1_trtB*O21)</f>
        <v>122.27507536443254</v>
      </c>
      <c r="G22" s="19">
        <f t="shared" si="3"/>
        <v>74380.551368224988</v>
      </c>
      <c r="H22" s="20">
        <f t="shared" si="4"/>
        <v>40.909303252523735</v>
      </c>
      <c r="I22" s="27" cm="1">
        <f t="array" ref="I22">SUM(pHealthyStage2*C21,pStage1Stage2*F21,(1-SUM(pStage2Remission, pStage2Stage1, pStage2Stage3))*I21,pStage3Stage2*L21,pRemissionStage2_trtB*O21)</f>
        <v>71.870277951377872</v>
      </c>
      <c r="J22" s="19">
        <f t="shared" si="5"/>
        <v>196735.75324204791</v>
      </c>
      <c r="K22" s="20">
        <f t="shared" si="6"/>
        <v>19.400331222479725</v>
      </c>
      <c r="L22" s="27">
        <f t="shared" si="7"/>
        <v>26.70081158978758</v>
      </c>
      <c r="M22" s="19">
        <f t="shared" si="8"/>
        <v>235512.47619819679</v>
      </c>
      <c r="N22" s="20">
        <f t="shared" si="9"/>
        <v>3.6545039410065012</v>
      </c>
      <c r="O22" s="27">
        <f t="shared" si="10"/>
        <v>351.78279767948118</v>
      </c>
      <c r="P22" s="19">
        <f t="shared" si="11"/>
        <v>1016458.5242130338</v>
      </c>
      <c r="Q22" s="20">
        <f t="shared" si="12"/>
        <v>127.05731552662922</v>
      </c>
      <c r="R22" s="27">
        <f t="shared" si="13"/>
        <v>222.26959267275106</v>
      </c>
      <c r="S22" s="19">
        <f t="shared" si="14"/>
        <v>0</v>
      </c>
      <c r="T22" s="23">
        <f t="shared" si="15"/>
        <v>0</v>
      </c>
      <c r="U22" s="49">
        <f t="shared" si="16"/>
        <v>0</v>
      </c>
      <c r="V22" s="54">
        <v>0.66666666666666663</v>
      </c>
      <c r="W22" s="13">
        <f t="shared" si="17"/>
        <v>1523087.3050215035</v>
      </c>
      <c r="X22" s="25">
        <f t="shared" si="17"/>
        <v>268.99911261957112</v>
      </c>
    </row>
    <row r="23" spans="1:24" x14ac:dyDescent="0.2">
      <c r="A23" s="10">
        <v>20</v>
      </c>
      <c r="B23" s="15">
        <f t="shared" si="18"/>
        <v>777.73040732724951</v>
      </c>
      <c r="C23" s="27">
        <f t="shared" si="19"/>
        <v>188.69332916279672</v>
      </c>
      <c r="D23" s="19">
        <f t="shared" si="2"/>
        <v>0</v>
      </c>
      <c r="E23" s="20">
        <f t="shared" si="1"/>
        <v>139.29989511218909</v>
      </c>
      <c r="F23" s="27" cm="1">
        <f t="array" ref="F23">SUM(pHealthyStage1*C22,(1-SUM(pStage1Remission,pStage1Stage2))*F22,pStage2Stage1*I22,pRemissionStage1_trtB*O22)</f>
        <v>121.47000893591706</v>
      </c>
      <c r="G23" s="19">
        <f t="shared" si="3"/>
        <v>143477.33079171143</v>
      </c>
      <c r="H23" s="20">
        <f t="shared" si="4"/>
        <v>78.912531935441265</v>
      </c>
      <c r="I23" s="27" cm="1">
        <f t="array" ref="I23">SUM(pHealthyStage2*C22,pStage1Stage2*F22,(1-SUM(pStage2Remission, pStage2Stage1, pStage2Stage3))*I22,pStage3Stage2*L22,pRemissionStage2_trtB*O22)</f>
        <v>71.340227711987197</v>
      </c>
      <c r="J23" s="19">
        <f t="shared" si="5"/>
        <v>379193.80206969008</v>
      </c>
      <c r="K23" s="20">
        <f t="shared" si="6"/>
        <v>37.39272214853888</v>
      </c>
      <c r="L23" s="27">
        <f t="shared" si="7"/>
        <v>26.181961935022173</v>
      </c>
      <c r="M23" s="19">
        <f t="shared" si="8"/>
        <v>448419.4219659607</v>
      </c>
      <c r="N23" s="20">
        <f t="shared" si="9"/>
        <v>6.9582324098166302</v>
      </c>
      <c r="O23" s="27">
        <f t="shared" si="10"/>
        <v>358.02951436612199</v>
      </c>
      <c r="P23" s="19">
        <f t="shared" si="11"/>
        <v>2008753.5820613154</v>
      </c>
      <c r="Q23" s="20">
        <f t="shared" si="12"/>
        <v>251.09419775766443</v>
      </c>
      <c r="R23" s="27">
        <f t="shared" si="13"/>
        <v>234.28495788815547</v>
      </c>
      <c r="S23" s="19">
        <f t="shared" si="14"/>
        <v>0</v>
      </c>
      <c r="T23" s="23">
        <f t="shared" si="15"/>
        <v>0</v>
      </c>
      <c r="U23" s="49">
        <f t="shared" si="16"/>
        <v>0</v>
      </c>
      <c r="V23" s="54">
        <v>1.3333333333333333</v>
      </c>
      <c r="W23" s="13">
        <f t="shared" si="17"/>
        <v>2979844.1368886777</v>
      </c>
      <c r="X23" s="25">
        <f t="shared" si="17"/>
        <v>513.65757936365026</v>
      </c>
    </row>
    <row r="24" spans="1:24" x14ac:dyDescent="0.2">
      <c r="A24" s="10">
        <v>21</v>
      </c>
      <c r="B24" s="15">
        <f t="shared" si="18"/>
        <v>765.71504211184515</v>
      </c>
      <c r="C24" s="27">
        <f t="shared" si="19"/>
        <v>173.59786282977299</v>
      </c>
      <c r="D24" s="19">
        <f t="shared" si="2"/>
        <v>0</v>
      </c>
      <c r="E24" s="20">
        <f t="shared" si="1"/>
        <v>62.21160364233689</v>
      </c>
      <c r="F24" s="27" cm="1">
        <f t="array" ref="F24">SUM(pHealthyStage1*C23,(1-SUM(pStage1Remission,pStage1Stage2))*F23,pStage2Stage1*I23,pRemissionStage1_trtB*O23)</f>
        <v>120.59954480137503</v>
      </c>
      <c r="G24" s="19">
        <f t="shared" si="3"/>
        <v>69150.077848471221</v>
      </c>
      <c r="H24" s="20">
        <f t="shared" si="4"/>
        <v>38.032542816659166</v>
      </c>
      <c r="I24" s="27" cm="1">
        <f t="array" ref="I24">SUM(pHealthyStage2*C23,pStage1Stage2*F23,(1-SUM(pStage2Remission, pStage2Stage1, pStage2Stage3))*I23,pStage3Stage2*L23,pRemissionStage2_trtB*O23)</f>
        <v>70.774987631774721</v>
      </c>
      <c r="J24" s="19">
        <f t="shared" si="5"/>
        <v>182616.20809888031</v>
      </c>
      <c r="K24" s="20">
        <f t="shared" si="6"/>
        <v>18.007987187528474</v>
      </c>
      <c r="L24" s="27">
        <f t="shared" si="7"/>
        <v>25.678948415937132</v>
      </c>
      <c r="M24" s="19">
        <f t="shared" si="8"/>
        <v>213497.22863237467</v>
      </c>
      <c r="N24" s="20">
        <f t="shared" si="9"/>
        <v>3.3128880305023647</v>
      </c>
      <c r="O24" s="27">
        <f t="shared" si="10"/>
        <v>363.28181556222529</v>
      </c>
      <c r="P24" s="19">
        <f t="shared" si="11"/>
        <v>989428.17632578046</v>
      </c>
      <c r="Q24" s="20">
        <f t="shared" si="12"/>
        <v>123.67852204072254</v>
      </c>
      <c r="R24" s="27">
        <f t="shared" si="13"/>
        <v>246.06684075891545</v>
      </c>
      <c r="S24" s="19">
        <f t="shared" si="14"/>
        <v>0</v>
      </c>
      <c r="T24" s="23">
        <f t="shared" si="15"/>
        <v>0</v>
      </c>
      <c r="U24" s="49">
        <f t="shared" si="16"/>
        <v>0</v>
      </c>
      <c r="V24" s="54">
        <v>0.66666666666666663</v>
      </c>
      <c r="W24" s="13">
        <f t="shared" si="17"/>
        <v>1454691.6909055067</v>
      </c>
      <c r="X24" s="25">
        <f t="shared" si="17"/>
        <v>245.24354371774945</v>
      </c>
    </row>
    <row r="25" spans="1:24" x14ac:dyDescent="0.2">
      <c r="A25" s="10">
        <v>22</v>
      </c>
      <c r="B25" s="15">
        <f t="shared" si="18"/>
        <v>753.93315924108515</v>
      </c>
      <c r="C25" s="27">
        <f t="shared" si="19"/>
        <v>159.71003380339116</v>
      </c>
      <c r="D25" s="19">
        <f t="shared" si="2"/>
        <v>0</v>
      </c>
      <c r="E25" s="20">
        <f t="shared" si="1"/>
        <v>111.13529194359209</v>
      </c>
      <c r="F25" s="27" cm="1">
        <f t="array" ref="F25">SUM(pHealthyStage1*C24,(1-SUM(pStage1Remission,pStage1Stage2))*F24,pStage2Stage1*I24,pRemissionStage1_trtB*O24)</f>
        <v>119.67089188894917</v>
      </c>
      <c r="G25" s="19">
        <f t="shared" si="3"/>
        <v>133238.06090831617</v>
      </c>
      <c r="H25" s="20">
        <f t="shared" si="4"/>
        <v>73.280933499573891</v>
      </c>
      <c r="I25" s="27" cm="1">
        <f t="array" ref="I25">SUM(pHealthyStage2*C24,pStage1Stage2*F24,(1-SUM(pStage2Remission, pStage2Stage1, pStage2Stage3))*I24,pStage3Stage2*L24,pRemissionStage2_trtB*O24)</f>
        <v>70.179306203461408</v>
      </c>
      <c r="J25" s="19">
        <f t="shared" si="5"/>
        <v>351610.11479740054</v>
      </c>
      <c r="K25" s="20">
        <f t="shared" si="6"/>
        <v>34.672664098076993</v>
      </c>
      <c r="L25" s="27">
        <f t="shared" si="7"/>
        <v>25.191700981032504</v>
      </c>
      <c r="M25" s="19">
        <f t="shared" si="8"/>
        <v>406691.66396569886</v>
      </c>
      <c r="N25" s="20">
        <f t="shared" si="9"/>
        <v>6.3107327167091212</v>
      </c>
      <c r="O25" s="27">
        <f t="shared" si="10"/>
        <v>367.62569957707922</v>
      </c>
      <c r="P25" s="19">
        <f t="shared" si="11"/>
        <v>1944192.4368420516</v>
      </c>
      <c r="Q25" s="20">
        <f t="shared" si="12"/>
        <v>243.02405460525645</v>
      </c>
      <c r="R25" s="27">
        <f t="shared" si="13"/>
        <v>257.62236754608716</v>
      </c>
      <c r="S25" s="19">
        <f t="shared" si="14"/>
        <v>0</v>
      </c>
      <c r="T25" s="23">
        <f t="shared" si="15"/>
        <v>0</v>
      </c>
      <c r="U25" s="49">
        <f t="shared" si="16"/>
        <v>0</v>
      </c>
      <c r="V25" s="54">
        <v>1.3333333333333333</v>
      </c>
      <c r="W25" s="13">
        <f t="shared" si="17"/>
        <v>2835732.2765134671</v>
      </c>
      <c r="X25" s="25">
        <f t="shared" si="17"/>
        <v>468.42367686320853</v>
      </c>
    </row>
    <row r="26" spans="1:24" x14ac:dyDescent="0.2">
      <c r="A26" s="10">
        <v>23</v>
      </c>
      <c r="B26" s="15">
        <f t="shared" si="18"/>
        <v>742.37763245391352</v>
      </c>
      <c r="C26" s="27">
        <f t="shared" si="19"/>
        <v>146.93323109911987</v>
      </c>
      <c r="D26" s="19">
        <f t="shared" si="2"/>
        <v>0</v>
      </c>
      <c r="E26" s="20">
        <f t="shared" si="1"/>
        <v>49.633237178691623</v>
      </c>
      <c r="F26" s="27" cm="1">
        <f t="array" ref="F26">SUM(pHealthyStage1*C25,(1-SUM(pStage1Remission,pStage1Stage2))*F25,pStage2Stage1*I25,pRemissionStage1_trtB*O25)</f>
        <v>118.69060269432593</v>
      </c>
      <c r="G26" s="19">
        <f t="shared" si="3"/>
        <v>64148.852268119714</v>
      </c>
      <c r="H26" s="20">
        <f t="shared" si="4"/>
        <v>35.281868747465843</v>
      </c>
      <c r="I26" s="27" cm="1">
        <f t="array" ref="I26">SUM(pHealthyStage2*C25,pStage1Stage2*F25,(1-SUM(pStage2Remission, pStage2Stage1, pStage2Stage3))*I25,pStage3Stage2*L25,pRemissionStage2_trtB*O25)</f>
        <v>69.557229623403586</v>
      </c>
      <c r="J26" s="19">
        <f t="shared" si="5"/>
        <v>169171.55661027893</v>
      </c>
      <c r="K26" s="20">
        <f t="shared" si="6"/>
        <v>16.682195165735841</v>
      </c>
      <c r="L26" s="27">
        <f t="shared" si="7"/>
        <v>24.719846759069377</v>
      </c>
      <c r="M26" s="19">
        <f t="shared" si="8"/>
        <v>193725.29540412934</v>
      </c>
      <c r="N26" s="20">
        <f t="shared" si="9"/>
        <v>3.0060821700640759</v>
      </c>
      <c r="O26" s="27">
        <f t="shared" si="10"/>
        <v>371.14045683653006</v>
      </c>
      <c r="P26" s="19">
        <f t="shared" si="11"/>
        <v>952805.95540331828</v>
      </c>
      <c r="Q26" s="20">
        <f t="shared" si="12"/>
        <v>119.10074442541479</v>
      </c>
      <c r="R26" s="27">
        <f t="shared" si="13"/>
        <v>268.95863298755177</v>
      </c>
      <c r="S26" s="19">
        <f t="shared" si="14"/>
        <v>0</v>
      </c>
      <c r="T26" s="23">
        <f t="shared" si="15"/>
        <v>0</v>
      </c>
      <c r="U26" s="49">
        <f t="shared" si="16"/>
        <v>0</v>
      </c>
      <c r="V26" s="54">
        <v>0.66666666666666663</v>
      </c>
      <c r="W26" s="13">
        <f t="shared" si="17"/>
        <v>1379851.6596858464</v>
      </c>
      <c r="X26" s="25">
        <f t="shared" si="17"/>
        <v>223.70412768737219</v>
      </c>
    </row>
    <row r="27" spans="1:24" x14ac:dyDescent="0.2">
      <c r="A27" s="10">
        <v>24</v>
      </c>
      <c r="B27" s="15">
        <f t="shared" si="18"/>
        <v>731.04136701244875</v>
      </c>
      <c r="C27" s="27">
        <f t="shared" si="19"/>
        <v>135.17857261119028</v>
      </c>
      <c r="D27" s="19">
        <f t="shared" si="2"/>
        <v>0</v>
      </c>
      <c r="E27" s="20">
        <f t="shared" si="1"/>
        <v>88.665200396886007</v>
      </c>
      <c r="F27" s="27" cm="1">
        <f t="array" ref="F27">SUM(pHealthyStage1*C26,(1-SUM(pStage1Remission,pStage1Stage2))*F26,pStage2Stage1*I26,pRemissionStage1_trtB*O26)</f>
        <v>117.66465133436043</v>
      </c>
      <c r="G27" s="19">
        <f t="shared" si="3"/>
        <v>123484.18467412815</v>
      </c>
      <c r="H27" s="20">
        <f t="shared" si="4"/>
        <v>67.916301570770486</v>
      </c>
      <c r="I27" s="27" cm="1">
        <f t="array" ref="I27">SUM(pHealthyStage2*C26,pStage1Stage2*F26,(1-SUM(pStage2Remission, pStage2Stage1, pStage2Stage3))*I26,pStage3Stage2*L26,pRemissionStage2_trtB*O26)</f>
        <v>68.912268708506517</v>
      </c>
      <c r="J27" s="19">
        <f t="shared" si="5"/>
        <v>325442.59032391553</v>
      </c>
      <c r="K27" s="20">
        <f t="shared" si="6"/>
        <v>32.092255434719448</v>
      </c>
      <c r="L27" s="27">
        <f t="shared" si="7"/>
        <v>24.262840134036423</v>
      </c>
      <c r="M27" s="19">
        <f t="shared" si="8"/>
        <v>369211.28366826399</v>
      </c>
      <c r="N27" s="20">
        <f t="shared" si="9"/>
        <v>5.7291406086454764</v>
      </c>
      <c r="O27" s="27">
        <f t="shared" si="10"/>
        <v>373.89910318277396</v>
      </c>
      <c r="P27" s="19">
        <f t="shared" si="11"/>
        <v>1863860.3061392966</v>
      </c>
      <c r="Q27" s="20">
        <f t="shared" si="12"/>
        <v>232.98253826741208</v>
      </c>
      <c r="R27" s="27">
        <f t="shared" si="13"/>
        <v>280.08256402913298</v>
      </c>
      <c r="S27" s="19">
        <f t="shared" si="14"/>
        <v>0</v>
      </c>
      <c r="T27" s="23">
        <f t="shared" si="15"/>
        <v>0</v>
      </c>
      <c r="U27" s="49">
        <f t="shared" si="16"/>
        <v>0</v>
      </c>
      <c r="V27" s="54">
        <v>1.3333333333333333</v>
      </c>
      <c r="W27" s="13">
        <f t="shared" si="17"/>
        <v>2681998.3648056043</v>
      </c>
      <c r="X27" s="25">
        <f t="shared" si="17"/>
        <v>427.38543627843353</v>
      </c>
    </row>
    <row r="28" spans="1:24" x14ac:dyDescent="0.2">
      <c r="A28" s="10">
        <v>25</v>
      </c>
      <c r="B28" s="15">
        <f t="shared" si="18"/>
        <v>719.91743597086759</v>
      </c>
      <c r="C28" s="27">
        <f t="shared" si="19"/>
        <v>124.36428680229506</v>
      </c>
      <c r="D28" s="19">
        <f t="shared" si="2"/>
        <v>0</v>
      </c>
      <c r="E28" s="20">
        <f t="shared" si="1"/>
        <v>39.598050662686958</v>
      </c>
      <c r="F28" s="27" cm="1">
        <f t="array" ref="F28">SUM(pHealthyStage1*C27,(1-SUM(pStage1Remission,pStage1Stage2))*F27,pStage2Stage1*I27,pRemissionStage1_trtB*O27)</f>
        <v>116.59849368794103</v>
      </c>
      <c r="G28" s="19">
        <f t="shared" si="3"/>
        <v>59400.629283073176</v>
      </c>
      <c r="H28" s="20">
        <f t="shared" si="4"/>
        <v>32.67034610569025</v>
      </c>
      <c r="I28" s="27" cm="1">
        <f t="array" ref="I28">SUM(pHealthyStage2*C27,pStage1Stage2*F27,(1-SUM(pStage2Remission, pStage2Stage1, pStage2Stage3))*I27,pStage3Stage2*L27,pRemissionStage2_trtB*O27)</f>
        <v>68.247512912948793</v>
      </c>
      <c r="J28" s="19">
        <f t="shared" si="5"/>
        <v>156457.88282631058</v>
      </c>
      <c r="K28" s="20">
        <f t="shared" si="6"/>
        <v>15.428485667594519</v>
      </c>
      <c r="L28" s="27">
        <f t="shared" si="7"/>
        <v>23.820046099406092</v>
      </c>
      <c r="M28" s="19">
        <f t="shared" si="8"/>
        <v>175957.87393985537</v>
      </c>
      <c r="N28" s="20">
        <f t="shared" si="9"/>
        <v>2.7303808025149969</v>
      </c>
      <c r="O28" s="27">
        <f t="shared" si="10"/>
        <v>375.96881840796021</v>
      </c>
      <c r="P28" s="19">
        <f t="shared" si="11"/>
        <v>909794.99447119469</v>
      </c>
      <c r="Q28" s="20">
        <f t="shared" si="12"/>
        <v>113.72437430889933</v>
      </c>
      <c r="R28" s="27">
        <f t="shared" si="13"/>
        <v>291.00084208944935</v>
      </c>
      <c r="S28" s="19">
        <f t="shared" si="14"/>
        <v>0</v>
      </c>
      <c r="T28" s="23">
        <f t="shared" si="15"/>
        <v>0</v>
      </c>
      <c r="U28" s="49">
        <f t="shared" si="16"/>
        <v>0</v>
      </c>
      <c r="V28" s="54">
        <v>0.66666666666666663</v>
      </c>
      <c r="W28" s="13">
        <f t="shared" si="17"/>
        <v>1301611.3805204339</v>
      </c>
      <c r="X28" s="25">
        <f t="shared" si="17"/>
        <v>204.15163754738606</v>
      </c>
    </row>
    <row r="29" spans="1:24" x14ac:dyDescent="0.2">
      <c r="A29" s="10">
        <v>26</v>
      </c>
      <c r="B29" s="15">
        <f t="shared" si="18"/>
        <v>708.99915791055128</v>
      </c>
      <c r="C29" s="27">
        <f t="shared" si="19"/>
        <v>114.41514385811145</v>
      </c>
      <c r="D29" s="19">
        <f t="shared" si="2"/>
        <v>0</v>
      </c>
      <c r="E29" s="20">
        <f t="shared" si="1"/>
        <v>70.738265261499009</v>
      </c>
      <c r="F29" s="27" cm="1">
        <f t="array" ref="F29">SUM(pHealthyStage1*C28,(1-SUM(pStage1Remission,pStage1Stage2))*F28,pStage2Stage1*I28,pRemissionStage1_trtB*O28)</f>
        <v>115.49711635556069</v>
      </c>
      <c r="G29" s="19">
        <f t="shared" si="3"/>
        <v>114251.52829530655</v>
      </c>
      <c r="H29" s="20">
        <f t="shared" si="4"/>
        <v>62.838340562418601</v>
      </c>
      <c r="I29" s="27" cm="1">
        <f t="array" ref="I29">SUM(pHealthyStage2*C28,pStage1Stage2*F28,(1-SUM(pStage2Remission, pStage2Stage1, pStage2Stage3))*I28,pStage3Stage2*L28,pRemissionStage2_trtB*O28)</f>
        <v>67.565709709818393</v>
      </c>
      <c r="J29" s="19">
        <f t="shared" si="5"/>
        <v>300766.68814160017</v>
      </c>
      <c r="K29" s="20">
        <f t="shared" si="6"/>
        <v>29.658937302852241</v>
      </c>
      <c r="L29" s="27">
        <f t="shared" si="7"/>
        <v>23.390792854668316</v>
      </c>
      <c r="M29" s="19">
        <f t="shared" si="8"/>
        <v>335508.72768230649</v>
      </c>
      <c r="N29" s="20">
        <f t="shared" si="9"/>
        <v>5.206169912311652</v>
      </c>
      <c r="O29" s="27">
        <f t="shared" si="10"/>
        <v>377.41137438765963</v>
      </c>
      <c r="P29" s="19">
        <f t="shared" si="11"/>
        <v>1773370.4657059556</v>
      </c>
      <c r="Q29" s="20">
        <f t="shared" si="12"/>
        <v>221.6713082132444</v>
      </c>
      <c r="R29" s="27">
        <f t="shared" si="13"/>
        <v>301.71986283418209</v>
      </c>
      <c r="S29" s="19">
        <f t="shared" si="14"/>
        <v>0</v>
      </c>
      <c r="T29" s="23">
        <f t="shared" si="15"/>
        <v>0</v>
      </c>
      <c r="U29" s="49">
        <f t="shared" si="16"/>
        <v>0</v>
      </c>
      <c r="V29" s="54">
        <v>1.3333333333333333</v>
      </c>
      <c r="W29" s="13">
        <f t="shared" si="17"/>
        <v>2523897.4098251686</v>
      </c>
      <c r="X29" s="25">
        <f t="shared" si="17"/>
        <v>390.11302125232589</v>
      </c>
    </row>
    <row r="30" spans="1:24" x14ac:dyDescent="0.2">
      <c r="A30" s="10">
        <v>27</v>
      </c>
      <c r="B30" s="15">
        <f t="shared" si="18"/>
        <v>698.28013716581847</v>
      </c>
      <c r="C30" s="27">
        <f t="shared" si="19"/>
        <v>105.26193234946254</v>
      </c>
      <c r="D30" s="19">
        <f t="shared" si="2"/>
        <v>0</v>
      </c>
      <c r="E30" s="20">
        <f t="shared" si="1"/>
        <v>31.591846621640347</v>
      </c>
      <c r="F30" s="27" cm="1">
        <f t="array" ref="F30">SUM(pHealthyStage1*C29,(1-SUM(pStage1Remission,pStage1Stage2))*F29,pStage2Stage1*I29,pRemissionStage1_trtB*O29)</f>
        <v>114.36507826052372</v>
      </c>
      <c r="G30" s="19">
        <f t="shared" si="3"/>
        <v>54918.300367634205</v>
      </c>
      <c r="H30" s="20">
        <f t="shared" si="4"/>
        <v>30.205065202198814</v>
      </c>
      <c r="I30" s="27" cm="1">
        <f t="array" ref="I30">SUM(pHealthyStage2*C29,pStage1Stage2*F29,(1-SUM(pStage2Remission, pStage2Stage1, pStage2Stage3))*I29,pStage3Stage2*L29,pRemissionStage2_trtB*O29)</f>
        <v>66.869321212972537</v>
      </c>
      <c r="J30" s="19">
        <f t="shared" si="5"/>
        <v>144498.41556744283</v>
      </c>
      <c r="K30" s="20">
        <f t="shared" si="6"/>
        <v>14.249149312900611</v>
      </c>
      <c r="L30" s="27">
        <f t="shared" si="7"/>
        <v>22.974404322388033</v>
      </c>
      <c r="M30" s="19">
        <f t="shared" si="8"/>
        <v>159969.03267812033</v>
      </c>
      <c r="N30" s="20">
        <f t="shared" si="9"/>
        <v>2.4822780932811765</v>
      </c>
      <c r="O30" s="27">
        <f t="shared" si="10"/>
        <v>378.28354423587092</v>
      </c>
      <c r="P30" s="19">
        <f t="shared" si="11"/>
        <v>862848.83206201915</v>
      </c>
      <c r="Q30" s="20">
        <f t="shared" si="12"/>
        <v>107.85610400775238</v>
      </c>
      <c r="R30" s="27">
        <f t="shared" si="13"/>
        <v>312.24571961878286</v>
      </c>
      <c r="S30" s="19">
        <f t="shared" si="14"/>
        <v>0</v>
      </c>
      <c r="T30" s="23">
        <f t="shared" si="15"/>
        <v>0</v>
      </c>
      <c r="U30" s="49">
        <f t="shared" si="16"/>
        <v>0</v>
      </c>
      <c r="V30" s="54">
        <v>0.66666666666666663</v>
      </c>
      <c r="W30" s="13">
        <f t="shared" si="17"/>
        <v>1222234.5806752164</v>
      </c>
      <c r="X30" s="25">
        <f t="shared" si="17"/>
        <v>186.38444323777333</v>
      </c>
    </row>
    <row r="31" spans="1:24" x14ac:dyDescent="0.2">
      <c r="A31" s="10">
        <v>28</v>
      </c>
      <c r="B31" s="15">
        <f t="shared" si="18"/>
        <v>687.75428038121777</v>
      </c>
      <c r="C31" s="27">
        <f t="shared" si="19"/>
        <v>96.840977761505542</v>
      </c>
      <c r="D31" s="19">
        <f t="shared" si="2"/>
        <v>0</v>
      </c>
      <c r="E31" s="20">
        <f t="shared" si="1"/>
        <v>56.435920178464308</v>
      </c>
      <c r="F31" s="27" cm="1">
        <f t="array" ref="F31">SUM(pHealthyStage1*C30,(1-SUM(pStage1Remission,pStage1Stage2))*F30,pStage2Stage1*I30,pRemissionStage1_trtB*O30)</f>
        <v>113.20654708633185</v>
      </c>
      <c r="G31" s="19">
        <f t="shared" si="3"/>
        <v>105557.22674800816</v>
      </c>
      <c r="H31" s="20">
        <f t="shared" si="4"/>
        <v>58.056474711404491</v>
      </c>
      <c r="I31" s="27" cm="1">
        <f t="array" ref="I31">SUM(pHealthyStage2*C30,pStage1Stage2*F30,(1-SUM(pStage2Remission, pStage2Stage1, pStage2Stage3))*I30,pStage3Stage2*L30,pRemissionStage2_trtB*O30)</f>
        <v>66.160565744020673</v>
      </c>
      <c r="J31" s="19">
        <f t="shared" si="5"/>
        <v>277605.55452782434</v>
      </c>
      <c r="K31" s="20">
        <f t="shared" si="6"/>
        <v>27.374992182604899</v>
      </c>
      <c r="L31" s="27">
        <f t="shared" si="7"/>
        <v>22.570219666634522</v>
      </c>
      <c r="M31" s="19">
        <f t="shared" si="8"/>
        <v>305154.80701529724</v>
      </c>
      <c r="N31" s="20">
        <f t="shared" si="9"/>
        <v>4.7351607985132329</v>
      </c>
      <c r="O31" s="27">
        <f t="shared" si="10"/>
        <v>378.63748817765054</v>
      </c>
      <c r="P31" s="19">
        <f t="shared" si="11"/>
        <v>1677002.2588077681</v>
      </c>
      <c r="Q31" s="20">
        <f t="shared" si="12"/>
        <v>209.62528235097099</v>
      </c>
      <c r="R31" s="27">
        <f t="shared" si="13"/>
        <v>322.58420156385745</v>
      </c>
      <c r="S31" s="19">
        <f t="shared" si="14"/>
        <v>0</v>
      </c>
      <c r="T31" s="23">
        <f t="shared" si="15"/>
        <v>0</v>
      </c>
      <c r="U31" s="49">
        <f t="shared" si="16"/>
        <v>0</v>
      </c>
      <c r="V31" s="54">
        <v>1.3333333333333333</v>
      </c>
      <c r="W31" s="13">
        <f t="shared" si="17"/>
        <v>2365319.8470988981</v>
      </c>
      <c r="X31" s="25">
        <f t="shared" si="17"/>
        <v>356.2278302219579</v>
      </c>
    </row>
    <row r="32" spans="1:24" x14ac:dyDescent="0.2">
      <c r="A32" s="10">
        <v>29</v>
      </c>
      <c r="B32" s="15">
        <f t="shared" si="18"/>
        <v>677.41579843614318</v>
      </c>
      <c r="C32" s="27">
        <f t="shared" si="19"/>
        <v>89.093699540585106</v>
      </c>
      <c r="D32" s="19">
        <f t="shared" si="2"/>
        <v>0</v>
      </c>
      <c r="E32" s="20">
        <f t="shared" si="1"/>
        <v>25.20439153601319</v>
      </c>
      <c r="F32" s="27" cm="1">
        <f t="array" ref="F32">SUM(pHealthyStage1*C31,(1-SUM(pStage1Remission,pStage1Stage2))*F31,pStage2Stage1*I31,pRemissionStage1_trtB*O31)</f>
        <v>112.02533183560408</v>
      </c>
      <c r="G32" s="19">
        <f t="shared" si="3"/>
        <v>50706.711520046963</v>
      </c>
      <c r="H32" s="20">
        <f t="shared" si="4"/>
        <v>27.888691336025826</v>
      </c>
      <c r="I32" s="27" cm="1">
        <f t="array" ref="I32">SUM(pHealthyStage2*C31,pStage1Stage2*F31,(1-SUM(pStage2Remission, pStage2Stage1, pStage2Stage3))*I31,pStage3Stage2*L31,pRemissionStage2_trtB*O31)</f>
        <v>65.441449338936934</v>
      </c>
      <c r="J32" s="19">
        <f t="shared" si="5"/>
        <v>133295.23665939938</v>
      </c>
      <c r="K32" s="20">
        <f t="shared" si="6"/>
        <v>13.144391392801884</v>
      </c>
      <c r="L32" s="27">
        <f t="shared" si="7"/>
        <v>22.177604472535418</v>
      </c>
      <c r="M32" s="19">
        <f t="shared" si="8"/>
        <v>145556.58010234669</v>
      </c>
      <c r="N32" s="20">
        <f t="shared" si="9"/>
        <v>2.2586365877950341</v>
      </c>
      <c r="O32" s="27">
        <f t="shared" si="10"/>
        <v>378.52111439849608</v>
      </c>
      <c r="P32" s="19">
        <f t="shared" si="11"/>
        <v>813828.56027629052</v>
      </c>
      <c r="Q32" s="20">
        <f t="shared" si="12"/>
        <v>101.72857003453632</v>
      </c>
      <c r="R32" s="27">
        <f t="shared" si="13"/>
        <v>332.74080041384298</v>
      </c>
      <c r="S32" s="19">
        <f t="shared" si="14"/>
        <v>0</v>
      </c>
      <c r="T32" s="23">
        <f t="shared" si="15"/>
        <v>0</v>
      </c>
      <c r="U32" s="49">
        <f t="shared" si="16"/>
        <v>0</v>
      </c>
      <c r="V32" s="54">
        <v>0.66666666666666663</v>
      </c>
      <c r="W32" s="13">
        <f t="shared" si="17"/>
        <v>1143387.0885580834</v>
      </c>
      <c r="X32" s="25">
        <f t="shared" si="17"/>
        <v>170.22468088717227</v>
      </c>
    </row>
    <row r="33" spans="1:24" ht="16" thickBot="1" x14ac:dyDescent="0.25">
      <c r="A33" s="11">
        <v>30</v>
      </c>
      <c r="B33" s="16">
        <f t="shared" si="18"/>
        <v>667.25919958615759</v>
      </c>
      <c r="C33" s="28">
        <f t="shared" si="19"/>
        <v>81.966203577338305</v>
      </c>
      <c r="D33" s="21">
        <f t="shared" si="2"/>
        <v>0</v>
      </c>
      <c r="E33" s="22">
        <f t="shared" si="1"/>
        <v>11.256330200549581</v>
      </c>
      <c r="F33" s="28" cm="1">
        <f t="array" ref="F33">SUM(pHealthyStage1*C32,(1-SUM(pStage1Remission,pStage1Stage2))*F32,pStage2Stage1*I32,pRemissionStage1_trtB*O32)</f>
        <v>110.82491228899845</v>
      </c>
      <c r="G33" s="21">
        <f t="shared" si="3"/>
        <v>24351.144793375504</v>
      </c>
      <c r="H33" s="22">
        <f t="shared" si="4"/>
        <v>13.39312963635653</v>
      </c>
      <c r="I33" s="28" cm="1">
        <f t="array" ref="I33">SUM(pHealthyStage2*C32,pStage1Stage2*F32,(1-SUM(pStage2Remission, pStage2Stage1, pStage2Stage3))*I32,pStage3Stage2*L32,pRemissionStage2_trtB*O32)</f>
        <v>64.713790433315921</v>
      </c>
      <c r="J33" s="21">
        <f t="shared" si="5"/>
        <v>63986.939559871971</v>
      </c>
      <c r="K33" s="22">
        <f t="shared" si="6"/>
        <v>6.3098232065984856</v>
      </c>
      <c r="L33" s="28">
        <f t="shared" si="7"/>
        <v>21.795956632514098</v>
      </c>
      <c r="M33" s="21">
        <f t="shared" si="8"/>
        <v>69442.592203675449</v>
      </c>
      <c r="N33" s="22">
        <f t="shared" si="9"/>
        <v>1.0775574652294464</v>
      </c>
      <c r="O33" s="28">
        <f t="shared" si="10"/>
        <v>377.9784146413499</v>
      </c>
      <c r="P33" s="21">
        <f t="shared" si="11"/>
        <v>394495.99227812549</v>
      </c>
      <c r="Q33" s="22">
        <f t="shared" si="12"/>
        <v>49.311999034765698</v>
      </c>
      <c r="R33" s="28">
        <f t="shared" si="13"/>
        <v>342.72072242648392</v>
      </c>
      <c r="S33" s="21">
        <f t="shared" si="14"/>
        <v>0</v>
      </c>
      <c r="T33" s="24">
        <f t="shared" si="15"/>
        <v>0</v>
      </c>
      <c r="U33" s="49">
        <f t="shared" si="16"/>
        <v>0</v>
      </c>
      <c r="V33" s="54">
        <v>0.33333333333333331</v>
      </c>
      <c r="W33" s="13">
        <f t="shared" si="17"/>
        <v>552276.66883504845</v>
      </c>
      <c r="X33" s="25">
        <f t="shared" si="17"/>
        <v>81.348839543499736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58629019.240626246</v>
      </c>
      <c r="X34" s="31">
        <f>SUM(X3:X33)</f>
        <v>15525.699710957397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1DDA-642D-2A4B-A6A0-6342222DEDFC}">
  <dimension ref="A1:Y113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22.83203125" style="1" bestFit="1" customWidth="1"/>
    <col min="22" max="22" width="7.1640625" style="1" bestFit="1" customWidth="1"/>
    <col min="23" max="23" width="21.33203125" style="1" bestFit="1" customWidth="1"/>
    <col min="24" max="24" width="13.5" style="1" bestFit="1" customWidth="1"/>
    <col min="25" max="25" width="15" style="1" bestFit="1" customWidth="1"/>
    <col min="26" max="2001" width="8.83203125" style="1"/>
    <col min="2002" max="2002" width="2.33203125" style="1" customWidth="1"/>
    <col min="2003" max="16384" width="8.83203125" style="1"/>
  </cols>
  <sheetData>
    <row r="1" spans="1:25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263</v>
      </c>
      <c r="S1" s="213"/>
      <c r="T1" s="214"/>
      <c r="U1" s="165" t="s">
        <v>264</v>
      </c>
    </row>
    <row r="2" spans="1:25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5"/>
      <c r="V2" s="2" t="s">
        <v>13</v>
      </c>
      <c r="W2" s="2" t="s">
        <v>137</v>
      </c>
      <c r="X2" s="2" t="s">
        <v>14</v>
      </c>
      <c r="Y2" s="2" t="s">
        <v>15</v>
      </c>
    </row>
    <row r="3" spans="1:25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C3*uHealthy*W3/(1+discount_rate)^A3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17">
        <v>0</v>
      </c>
      <c r="V3" s="48">
        <f>SUM(C3,F3,I3,L3,O3,R3)-B3</f>
        <v>0</v>
      </c>
      <c r="W3" s="55">
        <v>0.33333333333333331</v>
      </c>
      <c r="X3" s="12">
        <f>SUM(D3,G3,J3,M3,P3,S3)</f>
        <v>0</v>
      </c>
      <c r="Y3" s="12">
        <f>SUM(E3,H3,K3,N3,Q3,T3)</f>
        <v>333.33333333333331</v>
      </c>
    </row>
    <row r="4" spans="1:25" x14ac:dyDescent="0.2">
      <c r="A4" s="10">
        <v>1</v>
      </c>
      <c r="B4" s="15">
        <f>SUM(C4,F4,I4,L4,O4)</f>
        <v>994.69963507726789</v>
      </c>
      <c r="C4" s="27">
        <f>(1-SUM(pHealthyStage1,pHealthyStage2,pHealthyStage3))*C3*(1-'Life Table - Female'!B58)</f>
        <v>915.12366427108645</v>
      </c>
      <c r="D4" s="19">
        <f t="shared" ref="D4:D33" si="2">C4*0*W4/(1+discount_rate)^A4</f>
        <v>0</v>
      </c>
      <c r="E4" s="20">
        <f t="shared" si="1"/>
        <v>592.31305130814644</v>
      </c>
      <c r="F4" s="27">
        <f>SUM(pHealthyStage1*C3,(1-SUM(pStage1Remission,pStage1Stage2))*F3,pStage2Stage1*I3,pRemissionStage1_trtC*O3)*(1-'Life Table - Female'!B58)</f>
        <v>49.734981753863394</v>
      </c>
      <c r="G4" s="19">
        <f t="shared" ref="G4:G33" si="3">F4*SUM(nVisitsStage1*cVisit,cTreatmentStage1)*W4/(1+discount_rate)^A4</f>
        <v>51505.482722447523</v>
      </c>
      <c r="H4" s="20">
        <f t="shared" ref="H4:H33" si="4">F4*uStage1*W4/(1+discount_rate)^A4</f>
        <v>28.32801549734614</v>
      </c>
      <c r="I4" s="27">
        <f>SUM(pHealthyStage2*C3,pStage1Stage2*F3,(1-SUM(pStage2Remission, pStage2Stage1, pStage2Stage3))*I3,pStage3Stage2*L3,pRemissionStage2_trtC*O3)*(1-'Life Table - Female'!B58)</f>
        <v>19.893992701545358</v>
      </c>
      <c r="J4" s="19">
        <f t="shared" ref="J4:J33" si="5">I4*SUM(nVisitsStage2*cVisit,cTreatmentStage2)*W4/(1+discount_rate)^A4</f>
        <v>92709.868900405549</v>
      </c>
      <c r="K4" s="20">
        <f t="shared" ref="K4:K33" si="6">I4*uStage2*W4/(1+discount_rate)^A4</f>
        <v>9.1422231832344352</v>
      </c>
      <c r="L4" s="27">
        <f>SUM(pHealthyStage3*C3,pStage2Stage3*I3,(1-SUM(pStage3Death, pStage3Stage2))*L3)*(1-'Life Table - Female'!B58)</f>
        <v>9.9469963507726789</v>
      </c>
      <c r="M4" s="19">
        <f t="shared" ref="M4:M33" si="7">L4*SUM(nVisitsStage3*cVisit,cTreatmentStage3)*W4/(1+discount_rate)^A4</f>
        <v>149365.89989509783</v>
      </c>
      <c r="N4" s="20">
        <f t="shared" ref="N4:N33" si="8">L4*uStage3*W4/(1+discount_rate)^A4</f>
        <v>2.3177467225101385</v>
      </c>
      <c r="O4" s="27">
        <f>SUM(pStage1Remission*F3,pStage2Remission*I3,(1-SUM(pRemissionStage1_trtC, pRemissionStage2_trtC))*O3)*(1-'Life Table - Female'!B58)</f>
        <v>0</v>
      </c>
      <c r="P4" s="19">
        <f t="shared" ref="P4:P33" si="9">O4*SUM(nVisitsRemission*cVisit, cTrtC)*W4/(1+discount_rate)^A4</f>
        <v>0</v>
      </c>
      <c r="Q4" s="20">
        <f t="shared" ref="Q4:Q33" si="10">O4*uRemission*W4/(1+discount_rate)^A4</f>
        <v>0</v>
      </c>
      <c r="R4" s="27">
        <f>SUM(pStage3Death*L3*(1-'Life Table - Female'!B58),R3)</f>
        <v>0</v>
      </c>
      <c r="S4" s="19">
        <f t="shared" ref="S4:S33" si="11">R4*0*W4/(1+discount_rate)^A4</f>
        <v>0</v>
      </c>
      <c r="T4" s="23">
        <f t="shared" ref="T4:T33" si="12">R4*0*W4/(1+discount_rate)^A4</f>
        <v>0</v>
      </c>
      <c r="U4" s="13">
        <f>SUM(B3*'Life Table - Female'!B58,U3)</f>
        <v>5.3003649227321148</v>
      </c>
      <c r="V4" s="49">
        <f>SUM(C4,F4,I4,L4,O4,R4-R3, U4-U3)-B3</f>
        <v>0</v>
      </c>
      <c r="W4" s="54">
        <v>0.66666666666666663</v>
      </c>
      <c r="X4" s="13">
        <f>SUM(D4,G4,J4,M4,P4,S4)</f>
        <v>293581.25151795091</v>
      </c>
      <c r="Y4" s="25">
        <f>SUM(E4,H4,K4,N4,Q4,T4)</f>
        <v>632.10103671123716</v>
      </c>
    </row>
    <row r="5" spans="1:25" x14ac:dyDescent="0.2">
      <c r="A5" s="10">
        <v>2</v>
      </c>
      <c r="B5" s="15">
        <f t="shared" ref="B5:B33" si="13">SUM(C5,F5,I5,L5,O5)</f>
        <v>984.55445397707069</v>
      </c>
      <c r="C5" s="27">
        <f>(1-SUM(pHealthyStage1,pHealthyStage2,pHealthyStage3))*C4*(1-'Life Table - Female'!B59)</f>
        <v>837.09381200019345</v>
      </c>
      <c r="D5" s="19">
        <f t="shared" si="2"/>
        <v>0</v>
      </c>
      <c r="E5" s="20">
        <f t="shared" si="1"/>
        <v>1052.0549370034164</v>
      </c>
      <c r="F5" s="27">
        <f>SUM(pHealthyStage1*C4,(1-SUM(pStage1Remission,pStage1Stage2))*F4,pStage2Stage1*I4,pRemissionStage1_trtC*O4)*(1-'Life Table - Female'!B59)</f>
        <v>78.625895621473745</v>
      </c>
      <c r="G5" s="19">
        <f t="shared" si="3"/>
        <v>158106.55480486125</v>
      </c>
      <c r="H5" s="20">
        <f t="shared" si="4"/>
        <v>86.95860514267369</v>
      </c>
      <c r="I5" s="27">
        <f>SUM(pHealthyStage2*C4,pStage1Stage2*F4,(1-SUM(pStage2Remission, pStage2Stage1, pStage2Stage3))*I4,pStage3Stage2*L4,pRemissionStage2_trtC*O4)*(1-'Life Table - Female'!B59)</f>
        <v>35.505278651709524</v>
      </c>
      <c r="J5" s="19">
        <f t="shared" si="5"/>
        <v>321284.45193365205</v>
      </c>
      <c r="K5" s="20">
        <f t="shared" si="6"/>
        <v>31.682216787901798</v>
      </c>
      <c r="L5" s="27">
        <f>SUM(pHealthyStage3*C4,pStage2Stage3*I4,(1-SUM(pStage3Death, pStage3Stage2))*L4)*(1-'Life Table - Female'!B59)</f>
        <v>17.010885593576706</v>
      </c>
      <c r="M5" s="19">
        <f t="shared" si="7"/>
        <v>495997.1668972628</v>
      </c>
      <c r="N5" s="20">
        <f t="shared" si="8"/>
        <v>7.6965077621989053</v>
      </c>
      <c r="O5" s="27">
        <f>SUM(pStage1Remission*F4,pStage2Remission*I4,(1-SUM(pRemissionStage1_trtC, pRemissionStage2_trtC))*O4)*(1-'Life Table - Female'!B59)</f>
        <v>16.318582110117191</v>
      </c>
      <c r="P5" s="19">
        <f t="shared" si="9"/>
        <v>258414.72282964352</v>
      </c>
      <c r="Q5" s="20">
        <f t="shared" si="10"/>
        <v>19.483649737155659</v>
      </c>
      <c r="R5" s="27">
        <f>SUM(pStage3Death*L4*(1-'Life Table - Female'!B59),R4)</f>
        <v>4.4505223936683249</v>
      </c>
      <c r="S5" s="19">
        <f t="shared" si="11"/>
        <v>0</v>
      </c>
      <c r="T5" s="23">
        <f t="shared" si="12"/>
        <v>0</v>
      </c>
      <c r="U5" s="13">
        <f>SUM(B4*'Life Table - Female'!B59,U4)</f>
        <v>10.995023629261109</v>
      </c>
      <c r="V5" s="49">
        <f t="shared" ref="V5:V33" si="14">SUM(C5,F5,I5,L5,O5,R5-R4, U5-U4)-B4</f>
        <v>0</v>
      </c>
      <c r="W5" s="54">
        <v>1.3333333333333333</v>
      </c>
      <c r="X5" s="13">
        <f t="shared" ref="X5:Y33" si="15">SUM(D5,G5,J5,M5,P5,S5)</f>
        <v>1233802.8964654198</v>
      </c>
      <c r="Y5" s="25">
        <f t="shared" si="15"/>
        <v>1197.8759164333464</v>
      </c>
    </row>
    <row r="6" spans="1:25" x14ac:dyDescent="0.2">
      <c r="A6" s="10">
        <v>3</v>
      </c>
      <c r="B6" s="15">
        <f t="shared" si="13"/>
        <v>970.85085441317733</v>
      </c>
      <c r="C6" s="27">
        <f>(1-SUM(pHealthyStage1,pHealthyStage2,pHealthyStage3))*C5*(1-'Life Table - Female'!B60)</f>
        <v>765.35789070349904</v>
      </c>
      <c r="D6" s="19">
        <f t="shared" si="2"/>
        <v>0</v>
      </c>
      <c r="E6" s="20">
        <f t="shared" si="1"/>
        <v>466.94059339828948</v>
      </c>
      <c r="F6" s="27">
        <f>SUM(pHealthyStage1*C5,(1-SUM(pStage1Remission,pStage1Stage2))*F5,pStage2Stage1*I5,pRemissionStage1_trtC*O5)*(1-'Life Table - Female'!B60)</f>
        <v>94.961078904925401</v>
      </c>
      <c r="G6" s="19">
        <f t="shared" si="3"/>
        <v>92696.361944554388</v>
      </c>
      <c r="H6" s="20">
        <f t="shared" si="4"/>
        <v>50.98299906950492</v>
      </c>
      <c r="I6" s="27">
        <f>SUM(pHealthyStage2*C5,pStage1Stage2*F5,(1-SUM(pStage2Remission, pStage2Stage1, pStage2Stage3))*I5,pStage3Stage2*L5,pRemissionStage2_trtC*O5)*(1-'Life Table - Female'!B60)</f>
        <v>46.793013967869264</v>
      </c>
      <c r="J6" s="19">
        <f t="shared" si="5"/>
        <v>205546.73495371896</v>
      </c>
      <c r="K6" s="20">
        <f t="shared" si="6"/>
        <v>20.269191919047284</v>
      </c>
      <c r="L6" s="27">
        <f>SUM(pHealthyStage3*C5,pStage2Stage3*I5,(1-SUM(pStage3Death, pStage3Stage2))*L5)*(1-'Life Table - Female'!B60)</f>
        <v>22.064702792906591</v>
      </c>
      <c r="M6" s="19">
        <f t="shared" si="7"/>
        <v>312308.01764480537</v>
      </c>
      <c r="N6" s="20">
        <f t="shared" si="8"/>
        <v>4.8461588944883589</v>
      </c>
      <c r="O6" s="27">
        <f>SUM(pStage1Remission*F5,pStage2Remission*I5,(1-SUM(pRemissionStage1_trtC, pRemissionStage2_trtC))*O5)*(1-'Life Table - Female'!B60)</f>
        <v>41.674168043976991</v>
      </c>
      <c r="P6" s="19">
        <f t="shared" si="9"/>
        <v>320357.24528579117</v>
      </c>
      <c r="Q6" s="20">
        <f t="shared" si="10"/>
        <v>24.153919287420759</v>
      </c>
      <c r="R6" s="27">
        <f>SUM(pStage3Death*L5*(1-'Life Table - Female'!B60),R5)</f>
        <v>12.05802382433771</v>
      </c>
      <c r="S6" s="19">
        <f t="shared" si="11"/>
        <v>0</v>
      </c>
      <c r="T6" s="23">
        <f t="shared" si="12"/>
        <v>0</v>
      </c>
      <c r="U6" s="13">
        <f>SUM(B5*'Life Table - Female'!B60,U5)</f>
        <v>17.091121762485145</v>
      </c>
      <c r="V6" s="49">
        <f t="shared" si="14"/>
        <v>0</v>
      </c>
      <c r="W6" s="54">
        <v>0.66666666666666663</v>
      </c>
      <c r="X6" s="13">
        <f t="shared" si="15"/>
        <v>930908.35982886981</v>
      </c>
      <c r="Y6" s="25">
        <f t="shared" si="15"/>
        <v>567.1928625687508</v>
      </c>
    </row>
    <row r="7" spans="1:25" x14ac:dyDescent="0.2">
      <c r="A7" s="10">
        <v>4</v>
      </c>
      <c r="B7" s="15">
        <f t="shared" si="13"/>
        <v>954.46709289890123</v>
      </c>
      <c r="C7" s="27">
        <f>(1-SUM(pHealthyStage1,pHealthyStage2,pHealthyStage3))*C6*(1-'Life Table - Female'!B61)</f>
        <v>699.39952506338125</v>
      </c>
      <c r="D7" s="19">
        <f t="shared" si="2"/>
        <v>0</v>
      </c>
      <c r="E7" s="20">
        <f t="shared" si="1"/>
        <v>828.54322578293136</v>
      </c>
      <c r="F7" s="27">
        <f>SUM(pHealthyStage1*C6,(1-SUM(pStage1Remission,pStage1Stage2))*F6,pStage2Stage1*I6,pRemissionStage1_trtC*O6)*(1-'Life Table - Female'!B61)</f>
        <v>103.71457840027074</v>
      </c>
      <c r="G7" s="19">
        <f t="shared" si="3"/>
        <v>196584.66045584387</v>
      </c>
      <c r="H7" s="20">
        <f t="shared" si="4"/>
        <v>108.12156325071415</v>
      </c>
      <c r="I7" s="27">
        <f>SUM(pHealthyStage2*C6,pStage1Stage2*F6,(1-SUM(pStage2Remission, pStage2Stage1, pStage2Stage3))*I6,pStage3Stage2*L6,pRemissionStage2_trtC*O6)*(1-'Life Table - Female'!B61)</f>
        <v>54.447587266271491</v>
      </c>
      <c r="J7" s="19">
        <f t="shared" si="5"/>
        <v>464409.37033287756</v>
      </c>
      <c r="K7" s="20">
        <f t="shared" si="6"/>
        <v>45.795924018936539</v>
      </c>
      <c r="L7" s="27">
        <f>SUM(pHealthyStage3*C6,pStage2Stage3*I6,(1-SUM(pStage3Death, pStage3Stage2))*L6)*(1-'Life Table - Female'!B61)</f>
        <v>25.532219120609557</v>
      </c>
      <c r="M7" s="19">
        <f t="shared" si="7"/>
        <v>701724.08938986657</v>
      </c>
      <c r="N7" s="20">
        <f t="shared" si="8"/>
        <v>10.888822076739308</v>
      </c>
      <c r="O7" s="27">
        <f>SUM(pStage1Remission*F6,pStage2Remission*I6,(1-SUM(pRemissionStage1_trtC, pRemissionStage2_trtC))*O6)*(1-'Life Table - Female'!B61)</f>
        <v>71.373183048368261</v>
      </c>
      <c r="P7" s="19">
        <f t="shared" si="9"/>
        <v>1065357.6982774455</v>
      </c>
      <c r="Q7" s="20">
        <f t="shared" si="10"/>
        <v>80.324588362188351</v>
      </c>
      <c r="R7" s="27">
        <f>SUM(pStage3Death*L6*(1-'Life Table - Female'!B61),R6)</f>
        <v>21.920444823235478</v>
      </c>
      <c r="S7" s="19">
        <f t="shared" si="11"/>
        <v>0</v>
      </c>
      <c r="T7" s="23">
        <f t="shared" si="12"/>
        <v>0</v>
      </c>
      <c r="U7" s="13">
        <f>SUM(B6*'Life Table - Female'!B61,U6)</f>
        <v>23.612462277863447</v>
      </c>
      <c r="V7" s="49">
        <f t="shared" si="14"/>
        <v>0</v>
      </c>
      <c r="W7" s="54">
        <v>1.3333333333333333</v>
      </c>
      <c r="X7" s="13">
        <f t="shared" si="15"/>
        <v>2428075.8184560332</v>
      </c>
      <c r="Y7" s="25">
        <f t="shared" si="15"/>
        <v>1073.6741234915096</v>
      </c>
    </row>
    <row r="8" spans="1:25" x14ac:dyDescent="0.2">
      <c r="A8" s="10">
        <v>5</v>
      </c>
      <c r="B8" s="15">
        <f t="shared" si="13"/>
        <v>936.09786719059503</v>
      </c>
      <c r="C8" s="27">
        <f>(1-SUM(pHealthyStage1,pHealthyStage2,pHealthyStage3))*C7*(1-'Life Table - Female'!B62)</f>
        <v>638.75313164617637</v>
      </c>
      <c r="D8" s="19">
        <f t="shared" si="2"/>
        <v>0</v>
      </c>
      <c r="E8" s="20">
        <f t="shared" si="1"/>
        <v>367.32937494059075</v>
      </c>
      <c r="F8" s="27">
        <f>SUM(pHealthyStage1*C7,(1-SUM(pStage1Remission,pStage1Stage2))*F7,pStage2Stage1*I7,pRemissionStage1_trtC*O7)*(1-'Life Table - Female'!B62)</f>
        <v>107.88262171115295</v>
      </c>
      <c r="G8" s="19">
        <f t="shared" si="3"/>
        <v>99264.530315129887</v>
      </c>
      <c r="H8" s="20">
        <f t="shared" si="4"/>
        <v>54.595491673321433</v>
      </c>
      <c r="I8" s="27">
        <f>SUM(pHealthyStage2*C7,pStage1Stage2*F7,(1-SUM(pStage2Remission, pStage2Stage1, pStage2Stage3))*I7,pStage3Stage2*L7,pRemissionStage2_trtC*O7)*(1-'Life Table - Female'!B62)</f>
        <v>59.296285135942888</v>
      </c>
      <c r="J8" s="19">
        <f t="shared" si="5"/>
        <v>245517.58291013987</v>
      </c>
      <c r="K8" s="20">
        <f t="shared" si="6"/>
        <v>24.210761648083235</v>
      </c>
      <c r="L8" s="27">
        <f>SUM(pHealthyStage3*C7,pStage2Stage3*I7,(1-SUM(pStage3Death, pStage3Stage2))*L7)*(1-'Life Table - Female'!B62)</f>
        <v>27.723492768226603</v>
      </c>
      <c r="M8" s="19">
        <f t="shared" si="7"/>
        <v>369878.0391865655</v>
      </c>
      <c r="N8" s="20">
        <f t="shared" si="8"/>
        <v>5.7394868149639464</v>
      </c>
      <c r="O8" s="27">
        <f>SUM(pStage1Remission*F7,pStage2Remission*I7,(1-SUM(pRemissionStage1_trtC, pRemissionStage2_trtC))*O7)*(1-'Life Table - Female'!B62)</f>
        <v>102.4423359290962</v>
      </c>
      <c r="P8" s="19">
        <f t="shared" si="9"/>
        <v>742288.33446828346</v>
      </c>
      <c r="Q8" s="20">
        <f t="shared" si="10"/>
        <v>55.966183948005494</v>
      </c>
      <c r="R8" s="27">
        <f>SUM(pStage3Death*L7*(1-'Life Table - Female'!B62),R7)</f>
        <v>33.326118938531657</v>
      </c>
      <c r="S8" s="19">
        <f t="shared" si="11"/>
        <v>0</v>
      </c>
      <c r="T8" s="23">
        <f t="shared" si="12"/>
        <v>0</v>
      </c>
      <c r="U8" s="13">
        <f>SUM(B7*'Life Table - Female'!B62,U7)</f>
        <v>30.576013870873545</v>
      </c>
      <c r="V8" s="49">
        <f t="shared" si="14"/>
        <v>0</v>
      </c>
      <c r="W8" s="54">
        <v>0.66666666666666663</v>
      </c>
      <c r="X8" s="13">
        <f t="shared" si="15"/>
        <v>1456948.4868801187</v>
      </c>
      <c r="Y8" s="25">
        <f t="shared" si="15"/>
        <v>507.84129902496483</v>
      </c>
    </row>
    <row r="9" spans="1:25" x14ac:dyDescent="0.2">
      <c r="A9" s="10">
        <v>6</v>
      </c>
      <c r="B9" s="15">
        <f t="shared" si="13"/>
        <v>916.3000769592968</v>
      </c>
      <c r="C9" s="27">
        <f>(1-SUM(pHealthyStage1,pHealthyStage2,pHealthyStage3))*C8*(1-'Life Table - Female'!B63)</f>
        <v>582.9941339075001</v>
      </c>
      <c r="D9" s="19">
        <f t="shared" si="2"/>
        <v>0</v>
      </c>
      <c r="E9" s="20">
        <f t="shared" si="1"/>
        <v>650.9978785152714</v>
      </c>
      <c r="F9" s="27">
        <f>SUM(pHealthyStage1*C8,(1-SUM(pStage1Remission,pStage1Stage2))*F8,pStage2Stage1*I8,pRemissionStage1_trtC*O8)*(1-'Life Table - Female'!B63)</f>
        <v>109.27506698702831</v>
      </c>
      <c r="G9" s="19">
        <f t="shared" si="3"/>
        <v>195234.44959933427</v>
      </c>
      <c r="H9" s="20">
        <f t="shared" si="4"/>
        <v>107.37894727963385</v>
      </c>
      <c r="I9" s="27">
        <f>SUM(pHealthyStage2*C8,pStage1Stage2*F8,(1-SUM(pStage2Remission, pStage2Stage1, pStage2Stage3))*I8,pStage3Stage2*L8,pRemissionStage2_trtC*O8)*(1-'Life Table - Female'!B63)</f>
        <v>62.080031337471524</v>
      </c>
      <c r="J9" s="19">
        <f t="shared" si="5"/>
        <v>499114.06943577895</v>
      </c>
      <c r="K9" s="20">
        <f t="shared" si="6"/>
        <v>49.218192958250427</v>
      </c>
      <c r="L9" s="27">
        <f>SUM(pHealthyStage3*C8,pStage2Stage3*I8,(1-SUM(pStage3Death, pStage3Stage2))*L8)*(1-'Life Table - Female'!B63)</f>
        <v>28.912677229780154</v>
      </c>
      <c r="M9" s="19">
        <f t="shared" si="7"/>
        <v>749017.01115412125</v>
      </c>
      <c r="N9" s="20">
        <f t="shared" si="8"/>
        <v>11.62267775928809</v>
      </c>
      <c r="O9" s="27">
        <f>SUM(pStage1Remission*F8,pStage2Remission*I8,(1-SUM(pRemissionStage1_trtC, pRemissionStage2_trtC))*O8)*(1-'Life Table - Female'!B63)</f>
        <v>133.0381674975167</v>
      </c>
      <c r="P9" s="19">
        <f t="shared" si="9"/>
        <v>1871811.8297291829</v>
      </c>
      <c r="Q9" s="20">
        <f t="shared" si="10"/>
        <v>141.12866970180349</v>
      </c>
      <c r="R9" s="27">
        <f>SUM(pStage3Death*L8*(1-'Life Table - Female'!B63),R8)</f>
        <v>45.702787850786152</v>
      </c>
      <c r="S9" s="19">
        <f t="shared" si="11"/>
        <v>0</v>
      </c>
      <c r="T9" s="23">
        <f t="shared" si="12"/>
        <v>0</v>
      </c>
      <c r="U9" s="13">
        <f>SUM(B8*'Life Table - Female'!B63,U8)</f>
        <v>37.997135189917287</v>
      </c>
      <c r="V9" s="49">
        <f t="shared" si="14"/>
        <v>0</v>
      </c>
      <c r="W9" s="54">
        <v>1.3333333333333333</v>
      </c>
      <c r="X9" s="13">
        <f t="shared" si="15"/>
        <v>3315177.3599184174</v>
      </c>
      <c r="Y9" s="25">
        <f t="shared" si="15"/>
        <v>960.34636621424727</v>
      </c>
    </row>
    <row r="10" spans="1:25" x14ac:dyDescent="0.2">
      <c r="A10" s="10">
        <v>7</v>
      </c>
      <c r="B10" s="15">
        <f t="shared" si="13"/>
        <v>895.54116743394104</v>
      </c>
      <c r="C10" s="27">
        <f>(1-SUM(pHealthyStage1,pHealthyStage2,pHealthyStage3))*C9*(1-'Life Table - Female'!B64)</f>
        <v>531.75387897096084</v>
      </c>
      <c r="D10" s="19">
        <f t="shared" si="2"/>
        <v>0</v>
      </c>
      <c r="E10" s="20">
        <f t="shared" si="1"/>
        <v>288.24304341012623</v>
      </c>
      <c r="F10" s="27">
        <f>SUM(pHealthyStage1*C9,(1-SUM(pStage1Remission,pStage1Stage2))*F9,pStage2Stage1*I9,pRemissionStage1_trtC*O9)*(1-'Life Table - Female'!B64)</f>
        <v>108.9914185441644</v>
      </c>
      <c r="G10" s="19">
        <f t="shared" si="3"/>
        <v>94527.997042699382</v>
      </c>
      <c r="H10" s="20">
        <f t="shared" si="4"/>
        <v>51.990398373484659</v>
      </c>
      <c r="I10" s="27">
        <f>SUM(pHealthyStage2*C9,pStage1Stage2*F9,(1-SUM(pStage2Remission, pStage2Stage1, pStage2Stage3))*I9,pStage3Stage2*L9,pRemissionStage2_trtC*O9)*(1-'Life Table - Female'!B64)</f>
        <v>63.393327553106829</v>
      </c>
      <c r="J10" s="19">
        <f t="shared" si="5"/>
        <v>247413.96724435152</v>
      </c>
      <c r="K10" s="20">
        <f t="shared" si="6"/>
        <v>24.397766214373554</v>
      </c>
      <c r="L10" s="27">
        <f>SUM(pHealthyStage3*C9,pStage2Stage3*I9,(1-SUM(pStage3Death, pStage3Stage2))*L9)*(1-'Life Table - Female'!B64)</f>
        <v>29.344397497868474</v>
      </c>
      <c r="M10" s="19">
        <f t="shared" si="7"/>
        <v>369029.72523683106</v>
      </c>
      <c r="N10" s="20">
        <f t="shared" si="8"/>
        <v>5.7263233226404813</v>
      </c>
      <c r="O10" s="27">
        <f>SUM(pStage1Remission*F9,pStage2Remission*I9,(1-SUM(pRemissionStage1_trtC, pRemissionStage2_trtC))*O9)*(1-'Life Table - Female'!B64)</f>
        <v>162.05814486784047</v>
      </c>
      <c r="P10" s="19">
        <f t="shared" si="9"/>
        <v>1106852.0562631774</v>
      </c>
      <c r="Q10" s="20">
        <f t="shared" si="10"/>
        <v>83.453131226191957</v>
      </c>
      <c r="R10" s="27">
        <f>SUM(pStage3Death*L9*(1-'Life Table - Female'!B64),R9)</f>
        <v>58.601889824658649</v>
      </c>
      <c r="S10" s="19">
        <f t="shared" si="11"/>
        <v>0</v>
      </c>
      <c r="T10" s="23">
        <f t="shared" si="12"/>
        <v>0</v>
      </c>
      <c r="U10" s="13">
        <f>SUM(B9*'Life Table - Female'!B64,U9)</f>
        <v>45.856942741400609</v>
      </c>
      <c r="V10" s="49">
        <f t="shared" si="14"/>
        <v>0</v>
      </c>
      <c r="W10" s="54">
        <v>0.66666666666666663</v>
      </c>
      <c r="X10" s="13">
        <f t="shared" si="15"/>
        <v>1817823.7457870594</v>
      </c>
      <c r="Y10" s="25">
        <f t="shared" si="15"/>
        <v>453.8106625468169</v>
      </c>
    </row>
    <row r="11" spans="1:25" x14ac:dyDescent="0.2">
      <c r="A11" s="10">
        <v>8</v>
      </c>
      <c r="B11" s="15">
        <f t="shared" si="13"/>
        <v>874.20344149262837</v>
      </c>
      <c r="C11" s="27">
        <f>(1-SUM(pHealthyStage1,pHealthyStage2,pHealthyStage3))*C10*(1-'Life Table - Female'!B65)</f>
        <v>484.704346128672</v>
      </c>
      <c r="D11" s="19">
        <f t="shared" si="2"/>
        <v>0</v>
      </c>
      <c r="E11" s="20">
        <f t="shared" si="1"/>
        <v>510.17344899476251</v>
      </c>
      <c r="F11" s="27">
        <f>SUM(pHealthyStage1*C10,(1-SUM(pStage1Remission,pStage1Stage2))*F10,pStage2Stage1*I10,pRemissionStage1_trtC*O10)*(1-'Life Table - Female'!B65)</f>
        <v>107.70272715457986</v>
      </c>
      <c r="G11" s="19">
        <f t="shared" si="3"/>
        <v>181379.2584034552</v>
      </c>
      <c r="H11" s="20">
        <f t="shared" si="4"/>
        <v>99.758592121900364</v>
      </c>
      <c r="I11" s="27">
        <f>SUM(pHealthyStage2*C10,pStage1Stage2*F10,(1-SUM(pStage2Remission, pStage2Stage1, pStage2Stage3))*I10,pStage3Stage2*L10,pRemissionStage2_trtC*O10)*(1-'Life Table - Female'!B65)</f>
        <v>63.686124358963426</v>
      </c>
      <c r="J11" s="19">
        <f t="shared" si="5"/>
        <v>482634.38079966157</v>
      </c>
      <c r="K11" s="20">
        <f t="shared" si="6"/>
        <v>47.593112551077731</v>
      </c>
      <c r="L11" s="27">
        <f>SUM(pHealthyStage3*C10,pStage2Stage3*I10,(1-SUM(pStage3Death, pStage3Stage2))*L10)*(1-'Life Table - Female'!B65)</f>
        <v>29.226838309891509</v>
      </c>
      <c r="M11" s="19">
        <f t="shared" si="7"/>
        <v>713691.88853037986</v>
      </c>
      <c r="N11" s="20">
        <f t="shared" si="8"/>
        <v>11.074529304781757</v>
      </c>
      <c r="O11" s="27">
        <f>SUM(pStage1Remission*F10,pStage2Remission*I10,(1-SUM(pRemissionStage1_trtC, pRemissionStage2_trtC))*O10)*(1-'Life Table - Female'!B65)</f>
        <v>188.88340554052158</v>
      </c>
      <c r="P11" s="19">
        <f t="shared" si="9"/>
        <v>2504985.9163115094</v>
      </c>
      <c r="Q11" s="20">
        <f t="shared" si="10"/>
        <v>188.86798575364554</v>
      </c>
      <c r="R11" s="27">
        <f>SUM(pStage3Death*L10*(1-'Life Table - Female'!B65),R10)</f>
        <v>71.685154600826493</v>
      </c>
      <c r="S11" s="19">
        <f t="shared" si="11"/>
        <v>0</v>
      </c>
      <c r="T11" s="23">
        <f t="shared" si="12"/>
        <v>0</v>
      </c>
      <c r="U11" s="13">
        <f>SUM(B10*'Life Table - Female'!B65,U10)</f>
        <v>54.111403906545377</v>
      </c>
      <c r="V11" s="49">
        <f t="shared" si="14"/>
        <v>0</v>
      </c>
      <c r="W11" s="54">
        <v>1.3333333333333333</v>
      </c>
      <c r="X11" s="13">
        <f t="shared" si="15"/>
        <v>3882691.4440450063</v>
      </c>
      <c r="Y11" s="25">
        <f t="shared" si="15"/>
        <v>857.46766872616786</v>
      </c>
    </row>
    <row r="12" spans="1:25" x14ac:dyDescent="0.2">
      <c r="A12" s="10">
        <v>9</v>
      </c>
      <c r="B12" s="15">
        <f t="shared" si="13"/>
        <v>852.58353982859921</v>
      </c>
      <c r="C12" s="27">
        <f>(1-SUM(pHealthyStage1,pHealthyStage2,pHealthyStage3))*C11*(1-'Life Table - Female'!B66)</f>
        <v>441.542615459449</v>
      </c>
      <c r="D12" s="19">
        <f t="shared" si="2"/>
        <v>0</v>
      </c>
      <c r="E12" s="20">
        <f t="shared" si="1"/>
        <v>225.60376568725968</v>
      </c>
      <c r="F12" s="27">
        <f>SUM(pHealthyStage1*C11,(1-SUM(pStage1Remission,pStage1Stage2))*F11,pStage2Stage1*I11,pRemissionStage1_trtC*O11)*(1-'Life Table - Female'!B66)</f>
        <v>105.81947183802427</v>
      </c>
      <c r="G12" s="19">
        <f t="shared" si="3"/>
        <v>86508.601412722142</v>
      </c>
      <c r="H12" s="20">
        <f t="shared" si="4"/>
        <v>47.579730776997181</v>
      </c>
      <c r="I12" s="27">
        <f>SUM(pHealthyStage2*C11,pStage1Stage2*F11,(1-SUM(pStage2Remission, pStage2Stage1, pStage2Stage3))*I11,pStage3Stage2*L11,pRemissionStage2_trtC*O11)*(1-'Life Table - Female'!B66)</f>
        <v>63.286485525244387</v>
      </c>
      <c r="J12" s="19">
        <f t="shared" si="5"/>
        <v>232818.34290129619</v>
      </c>
      <c r="K12" s="20">
        <f t="shared" si="6"/>
        <v>22.958475480544486</v>
      </c>
      <c r="L12" s="27">
        <f>SUM(pHealthyStage3*C11,pStage2Stage3*I11,(1-SUM(pStage3Death, pStage3Stage2))*L11)*(1-'Life Table - Female'!B66)</f>
        <v>28.728055412923922</v>
      </c>
      <c r="M12" s="19">
        <f t="shared" si="7"/>
        <v>340539.84444193821</v>
      </c>
      <c r="N12" s="20">
        <f t="shared" si="8"/>
        <v>5.2842389654783508</v>
      </c>
      <c r="O12" s="27">
        <f>SUM(pStage1Remission*F11,pStage2Remission*I11,(1-SUM(pRemissionStage1_trtC, pRemissionStage2_trtC))*O11)*(1-'Life Table - Female'!B66)</f>
        <v>213.20691159295754</v>
      </c>
      <c r="P12" s="19">
        <f t="shared" si="9"/>
        <v>1372604.8937676689</v>
      </c>
      <c r="Q12" s="20">
        <f t="shared" si="10"/>
        <v>103.49005151422899</v>
      </c>
      <c r="R12" s="27">
        <f>SUM(pStage3Death*L11*(1-'Life Table - Female'!B66),R11)</f>
        <v>84.707890565754809</v>
      </c>
      <c r="S12" s="19">
        <f t="shared" si="11"/>
        <v>0</v>
      </c>
      <c r="T12" s="23">
        <f t="shared" si="12"/>
        <v>0</v>
      </c>
      <c r="U12" s="13">
        <f>SUM(B11*'Life Table - Female'!B66,U11)</f>
        <v>62.708569605646339</v>
      </c>
      <c r="V12" s="49">
        <f t="shared" si="14"/>
        <v>0</v>
      </c>
      <c r="W12" s="54">
        <v>0.66666666666666663</v>
      </c>
      <c r="X12" s="13">
        <f t="shared" si="15"/>
        <v>2032471.6825236254</v>
      </c>
      <c r="Y12" s="25">
        <f t="shared" si="15"/>
        <v>404.91626242450866</v>
      </c>
    </row>
    <row r="13" spans="1:25" x14ac:dyDescent="0.2">
      <c r="A13" s="10">
        <v>10</v>
      </c>
      <c r="B13" s="15">
        <f t="shared" si="13"/>
        <v>830.87125873413311</v>
      </c>
      <c r="C13" s="27">
        <f>(1-SUM(pHealthyStage1,pHealthyStage2,pHealthyStage3))*C12*(1-'Life Table - Female'!B67)</f>
        <v>401.96925575082406</v>
      </c>
      <c r="D13" s="19">
        <f t="shared" si="2"/>
        <v>0</v>
      </c>
      <c r="E13" s="20">
        <f t="shared" si="1"/>
        <v>398.80383623967151</v>
      </c>
      <c r="F13" s="27">
        <f>SUM(pHealthyStage1*C12,(1-SUM(pStage1Remission,pStage1Stage2))*F12,pStage2Stage1*I12,pRemissionStage1_trtC*O12)*(1-'Life Table - Female'!B67)</f>
        <v>103.58922659106649</v>
      </c>
      <c r="G13" s="19">
        <f t="shared" si="3"/>
        <v>164437.57473124395</v>
      </c>
      <c r="H13" s="20">
        <f t="shared" si="4"/>
        <v>90.440666102184181</v>
      </c>
      <c r="I13" s="27">
        <f>SUM(pHealthyStage2*C12,pStage1Stage2*F12,(1-SUM(pStage2Remission, pStage2Stage1, pStage2Stage3))*I12,pStage3Stage2*L12,pRemissionStage2_trtC*O12)*(1-'Life Table - Female'!B67)</f>
        <v>62.425220893890632</v>
      </c>
      <c r="J13" s="19">
        <f t="shared" si="5"/>
        <v>445922.17923098808</v>
      </c>
      <c r="K13" s="20">
        <f t="shared" si="6"/>
        <v>43.972881563055765</v>
      </c>
      <c r="L13" s="27">
        <f>SUM(pHealthyStage3*C12,pStage2Stage3*I12,(1-SUM(pStage3Death, pStage3Stage2))*L12)*(1-'Life Table - Female'!B67)</f>
        <v>27.976634636412943</v>
      </c>
      <c r="M13" s="19">
        <f t="shared" si="7"/>
        <v>643946.73512007564</v>
      </c>
      <c r="N13" s="20">
        <f t="shared" si="8"/>
        <v>9.9922769242770357</v>
      </c>
      <c r="O13" s="27">
        <f>SUM(pStage1Remission*F12,pStage2Remission*I12,(1-SUM(pRemissionStage1_trtC, pRemissionStage2_trtC))*O12)*(1-'Life Table - Female'!B67)</f>
        <v>234.91092086193893</v>
      </c>
      <c r="P13" s="19">
        <f t="shared" si="9"/>
        <v>2936569.2175034028</v>
      </c>
      <c r="Q13" s="20">
        <f t="shared" si="10"/>
        <v>221.40799655779622</v>
      </c>
      <c r="R13" s="27">
        <f>SUM(pStage3Death*L12*(1-'Life Table - Female'!B67),R12)</f>
        <v>97.500263980090324</v>
      </c>
      <c r="S13" s="19">
        <f t="shared" si="11"/>
        <v>0</v>
      </c>
      <c r="T13" s="23">
        <f t="shared" si="12"/>
        <v>0</v>
      </c>
      <c r="U13" s="13">
        <f>SUM(B12*'Life Table - Female'!B67,U12)</f>
        <v>71.62847728577691</v>
      </c>
      <c r="V13" s="49">
        <f t="shared" si="14"/>
        <v>0</v>
      </c>
      <c r="W13" s="54">
        <v>1.3333333333333333</v>
      </c>
      <c r="X13" s="13">
        <f t="shared" si="15"/>
        <v>4190875.7065857104</v>
      </c>
      <c r="Y13" s="25">
        <f t="shared" si="15"/>
        <v>764.61765738698466</v>
      </c>
    </row>
    <row r="14" spans="1:25" x14ac:dyDescent="0.2">
      <c r="A14" s="10">
        <v>11</v>
      </c>
      <c r="B14" s="15">
        <f t="shared" si="13"/>
        <v>809.17534373623573</v>
      </c>
      <c r="C14" s="27">
        <f>(1-SUM(pHealthyStage1,pHealthyStage2,pHealthyStage3))*C13*(1-'Life Table - Female'!B68)</f>
        <v>365.69618395258516</v>
      </c>
      <c r="D14" s="19">
        <f t="shared" si="2"/>
        <v>0</v>
      </c>
      <c r="E14" s="20">
        <f t="shared" si="1"/>
        <v>176.12446937221492</v>
      </c>
      <c r="F14" s="27">
        <f>SUM(pHealthyStage1*C13,(1-SUM(pStage1Remission,pStage1Stage2))*F13,pStage2Stage1*I13,pRemissionStage1_trtC*O13)*(1-'Life Table - Female'!B68)</f>
        <v>101.1598183031807</v>
      </c>
      <c r="G14" s="19">
        <f t="shared" si="3"/>
        <v>77952.005417688139</v>
      </c>
      <c r="H14" s="20">
        <f t="shared" si="4"/>
        <v>42.873602979728481</v>
      </c>
      <c r="I14" s="27">
        <f>SUM(pHealthyStage2*C13,pStage1Stage2*F13,(1-SUM(pStage2Remission, pStage2Stage1, pStage2Stage3))*I13,pStage3Stage2*L13,pRemissionStage2_trtC*O13)*(1-'Life Table - Female'!B68)</f>
        <v>61.261060746072424</v>
      </c>
      <c r="J14" s="19">
        <f t="shared" si="5"/>
        <v>212430.20980786544</v>
      </c>
      <c r="K14" s="20">
        <f t="shared" si="6"/>
        <v>20.947979022720062</v>
      </c>
      <c r="L14" s="27">
        <f>SUM(pHealthyStage3*C13,pStage2Stage3*I13,(1-SUM(pStage3Death, pStage3Stage2))*L13)*(1-'Life Table - Female'!B68)</f>
        <v>27.067179966846862</v>
      </c>
      <c r="M14" s="19">
        <f t="shared" si="7"/>
        <v>302433.75704627234</v>
      </c>
      <c r="N14" s="20">
        <f t="shared" si="8"/>
        <v>4.6929376093387081</v>
      </c>
      <c r="O14" s="27">
        <f>SUM(pStage1Remission*F13,pStage2Remission*I13,(1-SUM(pRemissionStage1_trtC, pRemissionStage2_trtC))*O13)*(1-'Life Table - Female'!B68)</f>
        <v>253.99110076755048</v>
      </c>
      <c r="P14" s="19">
        <f t="shared" si="9"/>
        <v>1541304.032194237</v>
      </c>
      <c r="Q14" s="20">
        <f t="shared" si="10"/>
        <v>116.20943099877182</v>
      </c>
      <c r="R14" s="27">
        <f>SUM(pStage3Death*L13*(1-'Life Table - Female'!B68),R13)</f>
        <v>109.94964469602468</v>
      </c>
      <c r="S14" s="19">
        <f t="shared" si="11"/>
        <v>0</v>
      </c>
      <c r="T14" s="23">
        <f t="shared" si="12"/>
        <v>0</v>
      </c>
      <c r="U14" s="13">
        <f>SUM(B13*'Life Table - Female'!B68,U13)</f>
        <v>80.875011567740074</v>
      </c>
      <c r="V14" s="49">
        <f t="shared" si="14"/>
        <v>0</v>
      </c>
      <c r="W14" s="54">
        <v>0.66666666666666663</v>
      </c>
      <c r="X14" s="13">
        <f t="shared" si="15"/>
        <v>2134120.0044660629</v>
      </c>
      <c r="Y14" s="25">
        <f t="shared" si="15"/>
        <v>360.84841998277398</v>
      </c>
    </row>
    <row r="15" spans="1:25" x14ac:dyDescent="0.2">
      <c r="A15" s="10">
        <v>12</v>
      </c>
      <c r="B15" s="15">
        <f t="shared" si="13"/>
        <v>787.48514842878285</v>
      </c>
      <c r="C15" s="27">
        <f>(1-SUM(pHealthyStage1,pHealthyStage2,pHealthyStage3))*C14*(1-'Life Table - Female'!B69)</f>
        <v>332.42598902420679</v>
      </c>
      <c r="D15" s="19">
        <f t="shared" si="2"/>
        <v>0</v>
      </c>
      <c r="E15" s="20">
        <f t="shared" si="1"/>
        <v>310.87586713977169</v>
      </c>
      <c r="F15" s="27">
        <f>SUM(pHealthyStage1*C14,(1-SUM(pStage1Remission,pStage1Stage2))*F14,pStage2Stage1*I14,pRemissionStage1_trtC*O14)*(1-'Life Table - Female'!B69)</f>
        <v>98.610442690517644</v>
      </c>
      <c r="G15" s="19">
        <f t="shared" si="3"/>
        <v>147548.54502410945</v>
      </c>
      <c r="H15" s="20">
        <f t="shared" si="4"/>
        <v>81.151699763260197</v>
      </c>
      <c r="I15" s="27">
        <f>SUM(pHealthyStage2*C14,pStage1Stage2*F14,(1-SUM(pStage2Remission, pStage2Stage1, pStage2Stage3))*I14,pStage3Stage2*L14,pRemissionStage2_trtC*O14)*(1-'Life Table - Female'!B69)</f>
        <v>59.896391806612634</v>
      </c>
      <c r="J15" s="19">
        <f t="shared" si="5"/>
        <v>403297.19144940813</v>
      </c>
      <c r="K15" s="20">
        <f t="shared" si="6"/>
        <v>39.769584156816634</v>
      </c>
      <c r="L15" s="27">
        <f>SUM(pHealthyStage3*C14,pStage2Stage3*I14,(1-SUM(pStage3Death, pStage3Stage2))*L14)*(1-'Life Table - Female'!B69)</f>
        <v>26.064940987326821</v>
      </c>
      <c r="M15" s="19">
        <f t="shared" si="7"/>
        <v>565505.41911564569</v>
      </c>
      <c r="N15" s="20">
        <f t="shared" si="8"/>
        <v>8.7750840897255369</v>
      </c>
      <c r="O15" s="27">
        <f>SUM(pStage1Remission*F14,pStage2Remission*I14,(1-SUM(pRemissionStage1_trtC, pRemissionStage2_trtC))*O14)*(1-'Life Table - Female'!B69)</f>
        <v>270.48738392011899</v>
      </c>
      <c r="P15" s="19">
        <f t="shared" si="9"/>
        <v>3187202.0699837436</v>
      </c>
      <c r="Q15" s="20">
        <f t="shared" si="10"/>
        <v>240.30491797496475</v>
      </c>
      <c r="R15" s="27">
        <f>SUM(pStage3Death*L14*(1-'Life Table - Female'!B69),R14)</f>
        <v>121.98453782362942</v>
      </c>
      <c r="S15" s="19">
        <f t="shared" si="11"/>
        <v>0</v>
      </c>
      <c r="T15" s="23">
        <f t="shared" si="12"/>
        <v>0</v>
      </c>
      <c r="U15" s="13">
        <f>SUM(B14*'Life Table - Female'!B69,U14)</f>
        <v>90.53031374758811</v>
      </c>
      <c r="V15" s="49">
        <f t="shared" si="14"/>
        <v>0</v>
      </c>
      <c r="W15" s="54">
        <v>1.3333333333333333</v>
      </c>
      <c r="X15" s="13">
        <f t="shared" si="15"/>
        <v>4303553.2255729064</v>
      </c>
      <c r="Y15" s="25">
        <f t="shared" si="15"/>
        <v>680.87715312453872</v>
      </c>
    </row>
    <row r="16" spans="1:25" x14ac:dyDescent="0.2">
      <c r="A16" s="10">
        <v>13</v>
      </c>
      <c r="B16" s="15">
        <f t="shared" si="13"/>
        <v>765.77147103734501</v>
      </c>
      <c r="C16" s="27">
        <f>(1-SUM(pHealthyStage1,pHealthyStage2,pHealthyStage3))*C15*(1-'Life Table - Female'!B70)</f>
        <v>301.89566588319116</v>
      </c>
      <c r="D16" s="19">
        <f t="shared" si="2"/>
        <v>0</v>
      </c>
      <c r="E16" s="20">
        <f t="shared" si="1"/>
        <v>137.05083881419449</v>
      </c>
      <c r="F16" s="27">
        <f>SUM(pHealthyStage1*C15,(1-SUM(pStage1Remission,pStage1Stage2))*F15,pStage2Stage1*I15,pRemissionStage1_trtC*O15)*(1-'Life Table - Female'!B70)</f>
        <v>95.985772681331781</v>
      </c>
      <c r="G16" s="19">
        <f t="shared" si="3"/>
        <v>69719.083229475669</v>
      </c>
      <c r="H16" s="20">
        <f t="shared" si="4"/>
        <v>38.345495776211628</v>
      </c>
      <c r="I16" s="27">
        <f>SUM(pHealthyStage2*C15,pStage1Stage2*F15,(1-SUM(pStage2Remission, pStage2Stage1, pStage2Stage3))*I15,pStage3Stage2*L15,pRemissionStage2_trtC*O15)*(1-'Life Table - Female'!B70)</f>
        <v>58.398963353326813</v>
      </c>
      <c r="J16" s="19">
        <f t="shared" si="5"/>
        <v>190880.89127836985</v>
      </c>
      <c r="K16" s="20">
        <f t="shared" si="6"/>
        <v>18.822976778839248</v>
      </c>
      <c r="L16" s="27">
        <f>SUM(pHealthyStage3*C15,pStage2Stage3*I15,(1-SUM(pStage3Death, pStage3Stage2))*L15)*(1-'Life Table - Female'!B70)</f>
        <v>25.015032527620672</v>
      </c>
      <c r="M16" s="19">
        <f t="shared" si="7"/>
        <v>263459.50809068297</v>
      </c>
      <c r="N16" s="20">
        <f t="shared" si="8"/>
        <v>4.0881647807174941</v>
      </c>
      <c r="O16" s="27">
        <f>SUM(pStage1Remission*F15,pStage2Remission*I15,(1-SUM(pRemissionStage1_trtC, pRemissionStage2_trtC))*O15)*(1-'Life Table - Female'!B70)</f>
        <v>284.47603659187456</v>
      </c>
      <c r="P16" s="19">
        <f t="shared" si="9"/>
        <v>1627200.4418307564</v>
      </c>
      <c r="Q16" s="20">
        <f t="shared" si="10"/>
        <v>122.68574759835067</v>
      </c>
      <c r="R16" s="27">
        <f>SUM(pStage3Death*L15*(1-'Life Table - Female'!B70),R15)</f>
        <v>133.56279897741268</v>
      </c>
      <c r="S16" s="19">
        <f t="shared" si="11"/>
        <v>0</v>
      </c>
      <c r="T16" s="23">
        <f t="shared" si="12"/>
        <v>0</v>
      </c>
      <c r="U16" s="13">
        <f>SUM(B15*'Life Table - Female'!B70,U15)</f>
        <v>100.66572998524272</v>
      </c>
      <c r="V16" s="49">
        <f t="shared" si="14"/>
        <v>0</v>
      </c>
      <c r="W16" s="54">
        <v>0.66666666666666663</v>
      </c>
      <c r="X16" s="13">
        <f t="shared" si="15"/>
        <v>2151259.9244292849</v>
      </c>
      <c r="Y16" s="25">
        <f t="shared" si="15"/>
        <v>320.99322374831354</v>
      </c>
    </row>
    <row r="17" spans="1:25" x14ac:dyDescent="0.2">
      <c r="A17" s="10">
        <v>14</v>
      </c>
      <c r="B17" s="15">
        <f t="shared" si="13"/>
        <v>743.95187331614898</v>
      </c>
      <c r="C17" s="27">
        <f>(1-SUM(pHealthyStage1,pHealthyStage2,pHealthyStage3))*C16*(1-'Life Table - Female'!B71)</f>
        <v>273.85573366931959</v>
      </c>
      <c r="D17" s="19">
        <f t="shared" si="2"/>
        <v>0</v>
      </c>
      <c r="E17" s="20">
        <f t="shared" si="1"/>
        <v>241.40120233907831</v>
      </c>
      <c r="F17" s="27">
        <f>SUM(pHealthyStage1*C16,(1-SUM(pStage1Remission,pStage1Stage2))*F16,pStage2Stage1*I16,pRemissionStage1_trtC*O16)*(1-'Life Table - Female'!B71)</f>
        <v>93.304522293149802</v>
      </c>
      <c r="G17" s="19">
        <f t="shared" si="3"/>
        <v>131595.26624299015</v>
      </c>
      <c r="H17" s="20">
        <f t="shared" si="4"/>
        <v>72.377396433644591</v>
      </c>
      <c r="I17" s="27">
        <f>SUM(pHealthyStage2*C16,pStage1Stage2*F16,(1-SUM(pStage2Remission, pStage2Stage1, pStage2Stage3))*I16,pStage3Stage2*L16,pRemissionStage2_trtC*O16)*(1-'Life Table - Female'!B71)</f>
        <v>56.809543450771528</v>
      </c>
      <c r="J17" s="19">
        <f t="shared" si="5"/>
        <v>360554.88687102316</v>
      </c>
      <c r="K17" s="20">
        <f t="shared" si="6"/>
        <v>35.554718010892564</v>
      </c>
      <c r="L17" s="27">
        <f>SUM(pHealthyStage3*C16,pStage2Stage3*I16,(1-SUM(pStage3Death, pStage3Stage2))*L16)*(1-'Life Table - Female'!B71)</f>
        <v>23.946320981555456</v>
      </c>
      <c r="M17" s="19">
        <f t="shared" si="7"/>
        <v>489716.0921150666</v>
      </c>
      <c r="N17" s="20">
        <f t="shared" si="8"/>
        <v>7.5990428086820669</v>
      </c>
      <c r="O17" s="27">
        <f>SUM(pStage1Remission*F16,pStage2Remission*I16,(1-SUM(pRemissionStage1_trtC, pRemissionStage2_trtC))*O16)*(1-'Life Table - Female'!B71)</f>
        <v>296.03575292135264</v>
      </c>
      <c r="P17" s="19">
        <f t="shared" si="9"/>
        <v>3288003.7245758227</v>
      </c>
      <c r="Q17" s="20">
        <f t="shared" si="10"/>
        <v>247.90504272595493</v>
      </c>
      <c r="R17" s="27">
        <f>SUM(pStage3Death*L16*(1-'Life Table - Female'!B71),R16)</f>
        <v>144.66197447188711</v>
      </c>
      <c r="S17" s="19">
        <f t="shared" si="11"/>
        <v>0</v>
      </c>
      <c r="T17" s="23">
        <f t="shared" si="12"/>
        <v>0</v>
      </c>
      <c r="U17" s="13">
        <f>SUM(B16*'Life Table - Female'!B71,U16)</f>
        <v>111.3861522119642</v>
      </c>
      <c r="V17" s="49">
        <f t="shared" si="14"/>
        <v>0</v>
      </c>
      <c r="W17" s="54">
        <v>1.3333333333333333</v>
      </c>
      <c r="X17" s="13">
        <f t="shared" si="15"/>
        <v>4269869.9698049026</v>
      </c>
      <c r="Y17" s="25">
        <f t="shared" si="15"/>
        <v>604.83740231825243</v>
      </c>
    </row>
    <row r="18" spans="1:25" x14ac:dyDescent="0.2">
      <c r="A18" s="10">
        <v>15</v>
      </c>
      <c r="B18" s="15">
        <f t="shared" si="13"/>
        <v>721.98427224061584</v>
      </c>
      <c r="C18" s="27">
        <f>(1-SUM(pHealthyStage1,pHealthyStage2,pHealthyStage3))*C17*(1-'Life Table - Female'!B72)</f>
        <v>248.1013601135341</v>
      </c>
      <c r="D18" s="19">
        <f t="shared" si="2"/>
        <v>0</v>
      </c>
      <c r="E18" s="20">
        <f t="shared" si="1"/>
        <v>106.16454810283155</v>
      </c>
      <c r="F18" s="27">
        <f>SUM(pHealthyStage1*C17,(1-SUM(pStage1Remission,pStage1Stage2))*F17,pStage2Stage1*I17,pRemissionStage1_trtC*O17)*(1-'Life Table - Female'!B72)</f>
        <v>90.578892646384958</v>
      </c>
      <c r="G18" s="19">
        <f t="shared" si="3"/>
        <v>62015.087388850006</v>
      </c>
      <c r="H18" s="20">
        <f t="shared" si="4"/>
        <v>34.108298063867501</v>
      </c>
      <c r="I18" s="27">
        <f>SUM(pHealthyStage2*C17,pStage1Stage2*F17,(1-SUM(pStage2Remission, pStage2Stage1, pStage2Stage3))*I17,pStage3Stage2*L17,pRemissionStage2_trtC*O17)*(1-'Life Table - Female'!B72)</f>
        <v>55.156324621928007</v>
      </c>
      <c r="J18" s="19">
        <f t="shared" si="5"/>
        <v>169933.18047876592</v>
      </c>
      <c r="K18" s="20">
        <f t="shared" si="6"/>
        <v>16.757299741656084</v>
      </c>
      <c r="L18" s="27">
        <f>SUM(pHealthyStage3*C17,pStage2Stage3*I17,(1-SUM(pStage3Death, pStage3Stage2))*L17)*(1-'Life Table - Female'!B72)</f>
        <v>22.878500879960363</v>
      </c>
      <c r="M18" s="19">
        <f t="shared" si="7"/>
        <v>227125.51185148663</v>
      </c>
      <c r="N18" s="20">
        <f t="shared" si="8"/>
        <v>3.52436139079893</v>
      </c>
      <c r="O18" s="27">
        <f>SUM(pStage1Remission*F17,pStage2Remission*I17,(1-SUM(pRemissionStage1_trtC, pRemissionStage2_trtC))*O17)*(1-'Life Table - Female'!B72)</f>
        <v>305.2691939788084</v>
      </c>
      <c r="P18" s="19">
        <f t="shared" si="9"/>
        <v>1645901.7063507002</v>
      </c>
      <c r="Q18" s="20">
        <f t="shared" si="10"/>
        <v>124.09576357406073</v>
      </c>
      <c r="R18" s="27">
        <f>SUM(pStage3Death*L17*(1-'Life Table - Female'!B72),R17)</f>
        <v>155.27332822681339</v>
      </c>
      <c r="S18" s="19">
        <f t="shared" si="11"/>
        <v>0</v>
      </c>
      <c r="T18" s="23">
        <f t="shared" si="12"/>
        <v>0</v>
      </c>
      <c r="U18" s="13">
        <f>SUM(B17*'Life Table - Female'!B72,U17)</f>
        <v>122.74239953257103</v>
      </c>
      <c r="V18" s="49">
        <f t="shared" si="14"/>
        <v>0</v>
      </c>
      <c r="W18" s="54">
        <v>0.66666666666666663</v>
      </c>
      <c r="X18" s="13">
        <f t="shared" si="15"/>
        <v>2104975.4860698027</v>
      </c>
      <c r="Y18" s="25">
        <f t="shared" si="15"/>
        <v>284.65027087321482</v>
      </c>
    </row>
    <row r="19" spans="1:25" x14ac:dyDescent="0.2">
      <c r="A19" s="10">
        <v>16</v>
      </c>
      <c r="B19" s="15">
        <f t="shared" si="13"/>
        <v>699.80883876189591</v>
      </c>
      <c r="C19" s="27">
        <f>(1-SUM(pHealthyStage1,pHealthyStage2,pHealthyStage3))*C18*(1-'Life Table - Female'!B73)</f>
        <v>224.4430568258723</v>
      </c>
      <c r="D19" s="19">
        <f t="shared" si="2"/>
        <v>0</v>
      </c>
      <c r="E19" s="20">
        <f t="shared" si="1"/>
        <v>186.48732366851337</v>
      </c>
      <c r="F19" s="27">
        <f>SUM(pHealthyStage1*C18,(1-SUM(pStage1Remission,pStage1Stage2))*F18,pStage2Stage1*I18,pRemissionStage1_trtC*O18)*(1-'Life Table - Female'!B73)</f>
        <v>87.811909944623693</v>
      </c>
      <c r="G19" s="19">
        <f t="shared" si="3"/>
        <v>116739.15551416206</v>
      </c>
      <c r="H19" s="20">
        <f t="shared" si="4"/>
        <v>64.206535532789133</v>
      </c>
      <c r="I19" s="27">
        <f>SUM(pHealthyStage2*C18,pStage1Stage2*F18,(1-SUM(pStage2Remission, pStage2Stage1, pStage2Stage3))*I18,pStage3Stage2*L18,pRemissionStage2_trtC*O18)*(1-'Life Table - Female'!B73)</f>
        <v>53.455547091153221</v>
      </c>
      <c r="J19" s="19">
        <f t="shared" si="5"/>
        <v>319792.60478525411</v>
      </c>
      <c r="K19" s="20">
        <f t="shared" si="6"/>
        <v>31.535104082990333</v>
      </c>
      <c r="L19" s="27">
        <f>SUM(pHealthyStage3*C18,pStage2Stage3*I18,(1-SUM(pStage3Death, pStage3Stage2))*L18)*(1-'Life Table - Female'!B73)</f>
        <v>21.823236689763384</v>
      </c>
      <c r="M19" s="19">
        <f t="shared" si="7"/>
        <v>420678.4733261253</v>
      </c>
      <c r="N19" s="20">
        <f t="shared" si="8"/>
        <v>6.5277694136812547</v>
      </c>
      <c r="O19" s="27">
        <f>SUM(pStage1Remission*F18,pStage2Remission*I18,(1-SUM(pRemissionStage1_trtC, pRemissionStage2_trtC))*O18)*(1-'Life Table - Female'!B73)</f>
        <v>312.27508821048332</v>
      </c>
      <c r="P19" s="19">
        <f t="shared" si="9"/>
        <v>3269271.7833689442</v>
      </c>
      <c r="Q19" s="20">
        <f t="shared" si="10"/>
        <v>246.49271382543628</v>
      </c>
      <c r="R19" s="27">
        <f>SUM(pStage3Death*L18*(1-'Life Table - Female'!B73),R18)</f>
        <v>165.39679542688918</v>
      </c>
      <c r="S19" s="19">
        <f t="shared" si="11"/>
        <v>0</v>
      </c>
      <c r="T19" s="23">
        <f t="shared" si="12"/>
        <v>0</v>
      </c>
      <c r="U19" s="13">
        <f>SUM(B18*'Life Table - Female'!B73,U18)</f>
        <v>134.79436581121513</v>
      </c>
      <c r="V19" s="49">
        <f t="shared" si="14"/>
        <v>0</v>
      </c>
      <c r="W19" s="54">
        <v>1.3333333333333333</v>
      </c>
      <c r="X19" s="13">
        <f t="shared" si="15"/>
        <v>4126482.0169944856</v>
      </c>
      <c r="Y19" s="25">
        <f t="shared" si="15"/>
        <v>535.24944652341037</v>
      </c>
    </row>
    <row r="20" spans="1:25" x14ac:dyDescent="0.2">
      <c r="A20" s="10">
        <v>17</v>
      </c>
      <c r="B20" s="15">
        <f t="shared" si="13"/>
        <v>677.38085066161148</v>
      </c>
      <c r="C20" s="27">
        <f>(1-SUM(pHealthyStage1,pHealthyStage2,pHealthyStage3))*C19*(1-'Life Table - Female'!B74)</f>
        <v>202.71465151451554</v>
      </c>
      <c r="D20" s="19">
        <f t="shared" si="2"/>
        <v>0</v>
      </c>
      <c r="E20" s="20">
        <f t="shared" si="1"/>
        <v>81.763798653315703</v>
      </c>
      <c r="F20" s="27">
        <f>SUM(pHealthyStage1*C19,(1-SUM(pStage1Remission,pStage1Stage2))*F19,pStage2Stage1*I19,pRemissionStage1_trtC*O19)*(1-'Life Table - Female'!B74)</f>
        <v>85.004310878272904</v>
      </c>
      <c r="G20" s="19">
        <f t="shared" si="3"/>
        <v>54857.606452327134</v>
      </c>
      <c r="H20" s="20">
        <f t="shared" si="4"/>
        <v>30.171683548779924</v>
      </c>
      <c r="I20" s="27">
        <f>SUM(pHealthyStage2*C19,pStage1Stage2*F19,(1-SUM(pStage2Remission, pStage2Stage1, pStage2Stage3))*I19,pStage3Stage2*L19,pRemissionStage2_trtC*O19)*(1-'Life Table - Female'!B74)</f>
        <v>51.717469344311802</v>
      </c>
      <c r="J20" s="19">
        <f t="shared" si="5"/>
        <v>150191.61355575087</v>
      </c>
      <c r="K20" s="20">
        <f t="shared" si="6"/>
        <v>14.810561892303211</v>
      </c>
      <c r="L20" s="27">
        <f>SUM(pHealthyStage3*C19,pStage2Stage3*I19,(1-SUM(pStage3Death, pStage3Stage2))*L19)*(1-'Life Table - Female'!B74)</f>
        <v>20.787480727579553</v>
      </c>
      <c r="M20" s="19">
        <f t="shared" si="7"/>
        <v>194520.67388167407</v>
      </c>
      <c r="N20" s="20">
        <f t="shared" si="8"/>
        <v>3.0184242498880463</v>
      </c>
      <c r="O20" s="27">
        <f>SUM(pStage1Remission*F19,pStage2Remission*I19,(1-SUM(pRemissionStage1_trtC, pRemissionStage2_trtC))*O19)*(1-'Life Table - Female'!B74)</f>
        <v>317.15693819693166</v>
      </c>
      <c r="P20" s="19">
        <f t="shared" si="9"/>
        <v>1611835.3735925059</v>
      </c>
      <c r="Q20" s="20">
        <f t="shared" si="10"/>
        <v>121.52727023118098</v>
      </c>
      <c r="R20" s="27">
        <f>SUM(pStage3Death*L19*(1-'Life Table - Female'!B74),R19)</f>
        <v>175.03781164688547</v>
      </c>
      <c r="S20" s="19">
        <f t="shared" si="11"/>
        <v>0</v>
      </c>
      <c r="T20" s="23">
        <f t="shared" si="12"/>
        <v>0</v>
      </c>
      <c r="U20" s="13">
        <f>SUM(B19*'Life Table - Female'!B74,U19)</f>
        <v>147.58133769150336</v>
      </c>
      <c r="V20" s="49">
        <f t="shared" si="14"/>
        <v>0</v>
      </c>
      <c r="W20" s="54">
        <v>0.66666666666666663</v>
      </c>
      <c r="X20" s="13">
        <f t="shared" si="15"/>
        <v>2011405.2674822579</v>
      </c>
      <c r="Y20" s="25">
        <f t="shared" si="15"/>
        <v>251.29173857546786</v>
      </c>
    </row>
    <row r="21" spans="1:25" x14ac:dyDescent="0.2">
      <c r="A21" s="10">
        <v>18</v>
      </c>
      <c r="B21" s="15">
        <f t="shared" si="13"/>
        <v>654.63551945887957</v>
      </c>
      <c r="C21" s="27">
        <f>(1-SUM(pHealthyStage1,pHealthyStage2,pHealthyStage3))*C20*(1-'Life Table - Female'!B75)</f>
        <v>182.75903300768238</v>
      </c>
      <c r="D21" s="19">
        <f t="shared" si="2"/>
        <v>0</v>
      </c>
      <c r="E21" s="20">
        <f t="shared" si="1"/>
        <v>143.13556064250514</v>
      </c>
      <c r="F21" s="27">
        <f>SUM(pHealthyStage1*C20,(1-SUM(pStage1Remission,pStage1Stage2))*F20,pStage2Stage1*I20,pRemissionStage1_trtC*O20)*(1-'Life Table - Female'!B75)</f>
        <v>82.151790537950063</v>
      </c>
      <c r="G21" s="19">
        <f t="shared" si="3"/>
        <v>102945.106705097</v>
      </c>
      <c r="H21" s="20">
        <f t="shared" si="4"/>
        <v>56.619808687803364</v>
      </c>
      <c r="I21" s="27">
        <f>SUM(pHealthyStage2*C20,pStage1Stage2*F20,(1-SUM(pStage2Remission, pStage2Stage1, pStage2Stage3))*I20,pStage3Stage2*L20,pRemissionStage2_trtC*O20)*(1-'Life Table - Female'!B75)</f>
        <v>49.946042072742031</v>
      </c>
      <c r="J21" s="19">
        <f t="shared" si="5"/>
        <v>281645.14353892469</v>
      </c>
      <c r="K21" s="20">
        <f t="shared" si="6"/>
        <v>27.773340543421739</v>
      </c>
      <c r="L21" s="27">
        <f>SUM(pHealthyStage3*C20,pStage2Stage3*I20,(1-SUM(pStage3Death, pStage3Stage2))*L20)*(1-'Life Table - Female'!B75)</f>
        <v>19.774017805138243</v>
      </c>
      <c r="M21" s="19">
        <f t="shared" si="7"/>
        <v>359295.35089040047</v>
      </c>
      <c r="N21" s="20">
        <f t="shared" si="8"/>
        <v>5.5752726862303517</v>
      </c>
      <c r="O21" s="27">
        <f>SUM(pStage1Remission*F20,pStage2Remission*I20,(1-SUM(pRemissionStage1_trtC, pRemissionStage2_trtC))*O20)*(1-'Life Table - Female'!B75)</f>
        <v>320.0046360353669</v>
      </c>
      <c r="P21" s="19">
        <f t="shared" si="9"/>
        <v>3157879.1600056798</v>
      </c>
      <c r="Q21" s="20">
        <f t="shared" si="10"/>
        <v>238.09406365122192</v>
      </c>
      <c r="R21" s="27">
        <f>SUM(pStage3Death*L20*(1-'Life Table - Female'!B75),R20)</f>
        <v>184.20466446419033</v>
      </c>
      <c r="S21" s="19">
        <f t="shared" si="11"/>
        <v>0</v>
      </c>
      <c r="T21" s="23">
        <f t="shared" si="12"/>
        <v>0</v>
      </c>
      <c r="U21" s="13">
        <f>SUM(B20*'Life Table - Female'!B75,U20)</f>
        <v>161.15981607693035</v>
      </c>
      <c r="V21" s="49">
        <f t="shared" si="14"/>
        <v>0</v>
      </c>
      <c r="W21" s="54">
        <v>1.3333333333333333</v>
      </c>
      <c r="X21" s="13">
        <f t="shared" si="15"/>
        <v>3901764.7611401021</v>
      </c>
      <c r="Y21" s="25">
        <f t="shared" si="15"/>
        <v>471.19804621118249</v>
      </c>
    </row>
    <row r="22" spans="1:25" x14ac:dyDescent="0.2">
      <c r="A22" s="10">
        <v>19</v>
      </c>
      <c r="B22" s="15">
        <f t="shared" si="13"/>
        <v>631.70562439604873</v>
      </c>
      <c r="C22" s="27">
        <f>(1-SUM(pHealthyStage1,pHealthyStage2,pHealthyStage3))*C21*(1-'Life Table - Female'!B76)</f>
        <v>164.48473845480726</v>
      </c>
      <c r="D22" s="19">
        <f t="shared" si="2"/>
        <v>0</v>
      </c>
      <c r="E22" s="20">
        <f t="shared" si="1"/>
        <v>62.535565309727119</v>
      </c>
      <c r="F22" s="27">
        <f>SUM(pHealthyStage1*C21,(1-SUM(pStage1Remission,pStage1Stage2))*F21,pStage2Stage1*I21,pRemissionStage1_trtC*O21)*(1-'Life Table - Female'!B76)</f>
        <v>79.273312796861745</v>
      </c>
      <c r="G22" s="19">
        <f t="shared" si="3"/>
        <v>48222.360092950628</v>
      </c>
      <c r="H22" s="20">
        <f t="shared" si="4"/>
        <v>26.522298051122846</v>
      </c>
      <c r="I22" s="27">
        <f>SUM(pHealthyStage2*C21,pStage1Stage2*F21,(1-SUM(pStage2Remission, pStage2Stage1, pStage2Stage3))*I21,pStage3Stage2*L21,pRemissionStage2_trtC*O21)*(1-'Life Table - Female'!B76)</f>
        <v>48.157102210347368</v>
      </c>
      <c r="J22" s="19">
        <f t="shared" si="5"/>
        <v>131823.94791511091</v>
      </c>
      <c r="K22" s="20">
        <f t="shared" si="6"/>
        <v>12.999305974962326</v>
      </c>
      <c r="L22" s="27">
        <f>SUM(pHealthyStage3*C21,pStage2Stage3*I21,(1-SUM(pStage3Death, pStage3Stage2))*L21)*(1-'Life Table - Female'!B76)</f>
        <v>18.789156582256151</v>
      </c>
      <c r="M22" s="19">
        <f t="shared" si="7"/>
        <v>165728.32542870272</v>
      </c>
      <c r="N22" s="20">
        <f t="shared" si="8"/>
        <v>2.5716464290660772</v>
      </c>
      <c r="O22" s="27">
        <f>SUM(pStage1Remission*F21,pStage2Remission*I21,(1-SUM(pRemissionStage1_trtC, pRemissionStage2_trtC))*O21)*(1-'Life Table - Female'!B76)</f>
        <v>321.00131435177622</v>
      </c>
      <c r="P22" s="19">
        <f t="shared" si="9"/>
        <v>1537725.5389698739</v>
      </c>
      <c r="Q22" s="20">
        <f t="shared" si="10"/>
        <v>115.9396239699508</v>
      </c>
      <c r="R22" s="27">
        <f>SUM(pStage3Death*L21*(1-'Life Table - Female'!B76),R21)</f>
        <v>192.90961613701364</v>
      </c>
      <c r="S22" s="19">
        <f t="shared" si="11"/>
        <v>0</v>
      </c>
      <c r="T22" s="23">
        <f t="shared" si="12"/>
        <v>0</v>
      </c>
      <c r="U22" s="13">
        <f>SUM(B21*'Life Table - Female'!B76,U21)</f>
        <v>175.38475946693788</v>
      </c>
      <c r="V22" s="49">
        <f t="shared" si="14"/>
        <v>0</v>
      </c>
      <c r="W22" s="54">
        <v>0.66666666666666663</v>
      </c>
      <c r="X22" s="13">
        <f t="shared" si="15"/>
        <v>1883500.172406638</v>
      </c>
      <c r="Y22" s="25">
        <f t="shared" si="15"/>
        <v>220.56843973482916</v>
      </c>
    </row>
    <row r="23" spans="1:25" x14ac:dyDescent="0.2">
      <c r="A23" s="10">
        <v>20</v>
      </c>
      <c r="B23" s="15">
        <f t="shared" si="13"/>
        <v>607.96872519113003</v>
      </c>
      <c r="C23" s="27">
        <f>(1-SUM(pHealthyStage1,pHealthyStage2,pHealthyStage3))*C22*(1-'Life Table - Female'!B77)</f>
        <v>147.61552542821858</v>
      </c>
      <c r="D23" s="19">
        <f t="shared" si="2"/>
        <v>0</v>
      </c>
      <c r="E23" s="20">
        <f t="shared" si="1"/>
        <v>108.97484982810802</v>
      </c>
      <c r="F23" s="27">
        <f>SUM(pHealthyStage1*C22,(1-SUM(pStage1Remission,pStage1Stage2))*F22,pStage2Stage1*I22,pRemissionStage1_trtC*O22)*(1-'Life Table - Female'!B77)</f>
        <v>76.292147110681285</v>
      </c>
      <c r="G23" s="19">
        <f t="shared" si="3"/>
        <v>90114.372458669386</v>
      </c>
      <c r="H23" s="20">
        <f t="shared" si="4"/>
        <v>49.562904852268154</v>
      </c>
      <c r="I23" s="27">
        <f>SUM(pHealthyStage2*C22,pStage1Stage2*F22,(1-SUM(pStage2Remission, pStage2Stage1, pStage2Stage3))*I22,pStage3Stage2*L22,pRemissionStage2_trtC*O22)*(1-'Life Table - Female'!B77)</f>
        <v>46.306812822668739</v>
      </c>
      <c r="J23" s="19">
        <f t="shared" si="5"/>
        <v>246134.01133014297</v>
      </c>
      <c r="K23" s="20">
        <f t="shared" si="6"/>
        <v>24.271548339500207</v>
      </c>
      <c r="L23" s="27">
        <f>SUM(pHealthyStage3*C22,pStage2Stage3*I22,(1-SUM(pStage3Death, pStage3Stage2))*L22)*(1-'Life Table - Female'!B77)</f>
        <v>17.815191950517601</v>
      </c>
      <c r="M23" s="19">
        <f t="shared" si="7"/>
        <v>305121.44569188001</v>
      </c>
      <c r="N23" s="20">
        <f t="shared" si="8"/>
        <v>4.7346431228050347</v>
      </c>
      <c r="O23" s="27">
        <f>SUM(pStage1Remission*F22,pStage2Remission*I22,(1-SUM(pRemissionStage1_trtC, pRemissionStage2_trtC))*O22)*(1-'Life Table - Female'!B77)</f>
        <v>319.93904787904376</v>
      </c>
      <c r="P23" s="19">
        <f t="shared" si="9"/>
        <v>2975993.8929518694</v>
      </c>
      <c r="Q23" s="20">
        <f t="shared" si="10"/>
        <v>224.3804919289108</v>
      </c>
      <c r="R23" s="27">
        <f>SUM(pStage3Death*L22*(1-'Life Table - Female'!B77),R22)</f>
        <v>201.15742143549591</v>
      </c>
      <c r="S23" s="19">
        <f t="shared" si="11"/>
        <v>0</v>
      </c>
      <c r="T23" s="23">
        <f t="shared" si="12"/>
        <v>0</v>
      </c>
      <c r="U23" s="13">
        <f>SUM(B22*'Life Table - Female'!B77,U22)</f>
        <v>190.87385337337437</v>
      </c>
      <c r="V23" s="49">
        <f t="shared" si="14"/>
        <v>0</v>
      </c>
      <c r="W23" s="54">
        <v>1.3333333333333333</v>
      </c>
      <c r="X23" s="13">
        <f t="shared" si="15"/>
        <v>3617363.7224325617</v>
      </c>
      <c r="Y23" s="25">
        <f t="shared" si="15"/>
        <v>411.92443807159225</v>
      </c>
    </row>
    <row r="24" spans="1:25" x14ac:dyDescent="0.2">
      <c r="A24" s="10">
        <v>21</v>
      </c>
      <c r="B24" s="15">
        <f t="shared" si="13"/>
        <v>583.83584980101432</v>
      </c>
      <c r="C24" s="27">
        <f>(1-SUM(pHealthyStage1,pHealthyStage2,pHealthyStage3))*C23*(1-'Life Table - Female'!B78)</f>
        <v>132.15822527111297</v>
      </c>
      <c r="D24" s="19">
        <f t="shared" si="2"/>
        <v>0</v>
      </c>
      <c r="E24" s="20">
        <f t="shared" si="1"/>
        <v>47.361038866609078</v>
      </c>
      <c r="F24" s="27">
        <f>SUM(pHealthyStage1*C23,(1-SUM(pStage1Remission,pStage1Stage2))*F23,pStage2Stage1*I23,pRemissionStage1_trtC*O23)*(1-'Life Table - Female'!B78)</f>
        <v>73.260697439367561</v>
      </c>
      <c r="G24" s="19">
        <f t="shared" si="3"/>
        <v>42006.650518533315</v>
      </c>
      <c r="H24" s="20">
        <f t="shared" si="4"/>
        <v>23.103657785193324</v>
      </c>
      <c r="I24" s="27">
        <f>SUM(pHealthyStage2*C23,pStage1Stage2*F23,(1-SUM(pStage2Remission, pStage2Stage1, pStage2Stage3))*I23,pStage3Stage2*L23,pRemissionStage2_trtC*O23)*(1-'Life Table - Female'!B78)</f>
        <v>44.428754738490099</v>
      </c>
      <c r="J24" s="19">
        <f t="shared" si="5"/>
        <v>114636.69570824021</v>
      </c>
      <c r="K24" s="20">
        <f t="shared" si="6"/>
        <v>11.304451937895909</v>
      </c>
      <c r="L24" s="27">
        <f>SUM(pHealthyStage3*C23,pStage2Stage3*I23,(1-SUM(pStage3Death, pStage3Stage2))*L23)*(1-'Life Table - Female'!B78)</f>
        <v>16.86425699170222</v>
      </c>
      <c r="M24" s="19">
        <f t="shared" si="7"/>
        <v>140211.04261567074</v>
      </c>
      <c r="N24" s="20">
        <f t="shared" si="8"/>
        <v>2.1756885923121323</v>
      </c>
      <c r="O24" s="27">
        <f>SUM(pStage1Remission*F23,pStage2Remission*I23,(1-SUM(pRemissionStage1_trtC, pRemissionStage2_trtC))*O23)*(1-'Life Table - Female'!B78)</f>
        <v>317.12391536034141</v>
      </c>
      <c r="P24" s="19">
        <f t="shared" si="9"/>
        <v>1431945.7410333478</v>
      </c>
      <c r="Q24" s="20">
        <f t="shared" si="10"/>
        <v>107.96416301441907</v>
      </c>
      <c r="R24" s="27">
        <f>SUM(pStage3Death*L23*(1-'Life Table - Female'!B78),R23)</f>
        <v>208.95890779895524</v>
      </c>
      <c r="S24" s="19">
        <f t="shared" si="11"/>
        <v>0</v>
      </c>
      <c r="T24" s="23">
        <f t="shared" si="12"/>
        <v>0</v>
      </c>
      <c r="U24" s="13">
        <f>SUM(B23*'Life Table - Female'!B78,U23)</f>
        <v>207.20524240003073</v>
      </c>
      <c r="V24" s="49">
        <f t="shared" si="14"/>
        <v>0</v>
      </c>
      <c r="W24" s="54">
        <v>0.66666666666666663</v>
      </c>
      <c r="X24" s="13">
        <f t="shared" si="15"/>
        <v>1728800.1298757922</v>
      </c>
      <c r="Y24" s="25">
        <f t="shared" si="15"/>
        <v>191.9090001964295</v>
      </c>
    </row>
    <row r="25" spans="1:25" x14ac:dyDescent="0.2">
      <c r="A25" s="10">
        <v>22</v>
      </c>
      <c r="B25" s="15">
        <f t="shared" si="13"/>
        <v>558.99304703578412</v>
      </c>
      <c r="C25" s="27">
        <f>(1-SUM(pHealthyStage1,pHealthyStage2,pHealthyStage3))*C24*(1-'Life Table - Female'!B79)</f>
        <v>117.94507299552578</v>
      </c>
      <c r="D25" s="19">
        <f t="shared" si="2"/>
        <v>0</v>
      </c>
      <c r="E25" s="20">
        <f t="shared" si="1"/>
        <v>82.072865483218735</v>
      </c>
      <c r="F25" s="27">
        <f>SUM(pHealthyStage1*C24,(1-SUM(pStage1Remission,pStage1Stage2))*F24,pStage2Stage1*I24,pRemissionStage1_trtC*O24)*(1-'Life Table - Female'!B79)</f>
        <v>70.140054220688739</v>
      </c>
      <c r="G25" s="19">
        <f t="shared" si="3"/>
        <v>78091.87905978752</v>
      </c>
      <c r="H25" s="20">
        <f t="shared" si="4"/>
        <v>42.950533482883124</v>
      </c>
      <c r="I25" s="27">
        <f>SUM(pHealthyStage2*C24,pStage1Stage2*F24,(1-SUM(pStage2Remission, pStage2Stage1, pStage2Stage3))*I24,pStage3Stage2*L24,pRemissionStage2_trtC*O24)*(1-'Life Table - Female'!B79)</f>
        <v>42.500361503430611</v>
      </c>
      <c r="J25" s="19">
        <f t="shared" si="5"/>
        <v>212933.95155301792</v>
      </c>
      <c r="K25" s="20">
        <f t="shared" si="6"/>
        <v>20.997653555922597</v>
      </c>
      <c r="L25" s="27">
        <f>SUM(pHealthyStage3*C24,pStage2Stage3*I24,(1-SUM(pStage3Death, pStage3Stage2))*L24)*(1-'Life Table - Female'!B79)</f>
        <v>15.926438294717267</v>
      </c>
      <c r="M25" s="19">
        <f t="shared" si="7"/>
        <v>257114.42415112862</v>
      </c>
      <c r="N25" s="20">
        <f t="shared" si="8"/>
        <v>3.9897065816554438</v>
      </c>
      <c r="O25" s="27">
        <f>SUM(pStage1Remission*F24,pStage2Remission*I24,(1-SUM(pRemissionStage1_trtC, pRemissionStage2_trtC))*O24)*(1-'Life Table - Female'!B79)</f>
        <v>312.4811200214217</v>
      </c>
      <c r="P25" s="19">
        <f t="shared" si="9"/>
        <v>2739770.0938703949</v>
      </c>
      <c r="Q25" s="20">
        <f t="shared" si="10"/>
        <v>206.5699673949901</v>
      </c>
      <c r="R25" s="27">
        <f>SUM(pStage3Death*L24*(1-'Life Table - Female'!B79),R24)</f>
        <v>216.32059743124151</v>
      </c>
      <c r="S25" s="19">
        <f t="shared" si="11"/>
        <v>0</v>
      </c>
      <c r="T25" s="23">
        <f t="shared" si="12"/>
        <v>0</v>
      </c>
      <c r="U25" s="13">
        <f>SUM(B24*'Life Table - Female'!B79,U24)</f>
        <v>224.68635553297463</v>
      </c>
      <c r="V25" s="49">
        <f t="shared" si="14"/>
        <v>0</v>
      </c>
      <c r="W25" s="54">
        <v>1.3333333333333333</v>
      </c>
      <c r="X25" s="13">
        <f t="shared" si="15"/>
        <v>3287910.3486343287</v>
      </c>
      <c r="Y25" s="25">
        <f t="shared" si="15"/>
        <v>356.58072649867</v>
      </c>
    </row>
    <row r="26" spans="1:25" x14ac:dyDescent="0.2">
      <c r="A26" s="10">
        <v>23</v>
      </c>
      <c r="B26" s="15">
        <f t="shared" si="13"/>
        <v>533.59554979355664</v>
      </c>
      <c r="C26" s="27">
        <f>(1-SUM(pHealthyStage1,pHealthyStage2,pHealthyStage3))*C25*(1-'Life Table - Female'!B80)</f>
        <v>104.92465571902109</v>
      </c>
      <c r="D26" s="19">
        <f t="shared" si="2"/>
        <v>0</v>
      </c>
      <c r="E26" s="20">
        <f t="shared" si="1"/>
        <v>35.442971506436372</v>
      </c>
      <c r="F26" s="27">
        <f>SUM(pHealthyStage1*C25,(1-SUM(pStage1Remission,pStage1Stage2))*F25,pStage2Stage1*I25,pRemissionStage1_trtC*O25)*(1-'Life Table - Female'!B80)</f>
        <v>66.949978309521782</v>
      </c>
      <c r="G26" s="19">
        <f t="shared" si="3"/>
        <v>36184.535004780504</v>
      </c>
      <c r="H26" s="20">
        <f t="shared" si="4"/>
        <v>19.901494252629277</v>
      </c>
      <c r="I26" s="27">
        <f>SUM(pHealthyStage2*C25,pStage1Stage2*F25,(1-SUM(pStage2Remission, pStage2Stage1, pStage2Stage3))*I25,pStage3Stage2*L25,pRemissionStage2_trtC*O25)*(1-'Life Table - Female'!B80)</f>
        <v>40.534193961641655</v>
      </c>
      <c r="J26" s="19">
        <f t="shared" si="5"/>
        <v>98584.0397261404</v>
      </c>
      <c r="K26" s="20">
        <f t="shared" si="6"/>
        <v>9.721481695216621</v>
      </c>
      <c r="L26" s="27">
        <f>SUM(pHealthyStage3*C25,pStage2Stage3*I25,(1-SUM(pStage3Death, pStage3Stage2))*L25)*(1-'Life Table - Female'!B80)</f>
        <v>15.005067315398279</v>
      </c>
      <c r="M26" s="19">
        <f t="shared" si="7"/>
        <v>117592.19733706034</v>
      </c>
      <c r="N26" s="20">
        <f t="shared" si="8"/>
        <v>1.8247065104026601</v>
      </c>
      <c r="O26" s="27">
        <f>SUM(pStage1Remission*F25,pStage2Remission*I25,(1-SUM(pRemissionStage1_trtC, pRemissionStage2_trtC))*O25)*(1-'Life Table - Female'!B80)</f>
        <v>306.18165448797384</v>
      </c>
      <c r="P26" s="19">
        <f t="shared" si="9"/>
        <v>1303173.6299367084</v>
      </c>
      <c r="Q26" s="20">
        <f t="shared" si="10"/>
        <v>98.255154638085145</v>
      </c>
      <c r="R26" s="27">
        <f>SUM(pStage3Death*L25*(1-'Life Table - Female'!B80),R25)</f>
        <v>223.25072292551064</v>
      </c>
      <c r="S26" s="19">
        <f t="shared" si="11"/>
        <v>0</v>
      </c>
      <c r="T26" s="23">
        <f t="shared" si="12"/>
        <v>0</v>
      </c>
      <c r="U26" s="13">
        <f>SUM(B25*'Life Table - Female'!B80,U25)</f>
        <v>243.15372728093294</v>
      </c>
      <c r="V26" s="49">
        <f t="shared" si="14"/>
        <v>0</v>
      </c>
      <c r="W26" s="54">
        <v>0.66666666666666663</v>
      </c>
      <c r="X26" s="13">
        <f t="shared" si="15"/>
        <v>1555534.4020046897</v>
      </c>
      <c r="Y26" s="25">
        <f t="shared" si="15"/>
        <v>165.14580860277007</v>
      </c>
    </row>
    <row r="27" spans="1:25" x14ac:dyDescent="0.2">
      <c r="A27" s="10">
        <v>24</v>
      </c>
      <c r="B27" s="15">
        <f t="shared" si="13"/>
        <v>507.30457026284301</v>
      </c>
      <c r="C27" s="27">
        <f>(1-SUM(pHealthyStage1,pHealthyStage2,pHealthyStage3))*C26*(1-'Life Table - Female'!B81)</f>
        <v>92.950711575906922</v>
      </c>
      <c r="D27" s="19">
        <f t="shared" si="2"/>
        <v>0</v>
      </c>
      <c r="E27" s="20">
        <f t="shared" si="1"/>
        <v>60.967454454602638</v>
      </c>
      <c r="F27" s="27">
        <f>SUM(pHealthyStage1*C26,(1-SUM(pStage1Remission,pStage1Stage2))*F26,pStage2Stage1*I26,pRemissionStage1_trtC*O26)*(1-'Life Table - Female'!B81)</f>
        <v>63.648120834438615</v>
      </c>
      <c r="G27" s="19">
        <f t="shared" si="3"/>
        <v>66796.070171891115</v>
      </c>
      <c r="H27" s="20">
        <f t="shared" si="4"/>
        <v>36.737838594540115</v>
      </c>
      <c r="I27" s="27">
        <f>SUM(pHealthyStage2*C26,pStage1Stage2*F26,(1-SUM(pStage2Remission, pStage2Stage1, pStage2Stage3))*I26,pStage3Stage2*L26,pRemissionStage2_trtC*O26)*(1-'Life Table - Female'!B81)</f>
        <v>38.504888347300444</v>
      </c>
      <c r="J27" s="19">
        <f t="shared" si="5"/>
        <v>181841.79448342221</v>
      </c>
      <c r="K27" s="20">
        <f t="shared" si="6"/>
        <v>17.931621400448574</v>
      </c>
      <c r="L27" s="27">
        <f>SUM(pHealthyStage3*C26,pStage2Stage3*I26,(1-SUM(pStage3Death, pStage3Stage2))*L26)*(1-'Life Table - Female'!B81)</f>
        <v>14.089265050719224</v>
      </c>
      <c r="M27" s="19">
        <f t="shared" si="7"/>
        <v>214398.46310577207</v>
      </c>
      <c r="N27" s="20">
        <f t="shared" si="8"/>
        <v>3.326872703365428</v>
      </c>
      <c r="O27" s="27">
        <f>SUM(pStage1Remission*F26,pStage2Remission*I26,(1-SUM(pRemissionStage1_trtC, pRemissionStage2_trtC))*O26)*(1-'Life Table - Female'!B81)</f>
        <v>298.11158445447779</v>
      </c>
      <c r="P27" s="19">
        <f t="shared" si="9"/>
        <v>2463739.2458579456</v>
      </c>
      <c r="Q27" s="20">
        <f t="shared" si="10"/>
        <v>185.75811774325777</v>
      </c>
      <c r="R27" s="27">
        <f>SUM(pStage3Death*L26*(1-'Life Table - Female'!B81),R26)</f>
        <v>229.7525857186555</v>
      </c>
      <c r="S27" s="19">
        <f t="shared" si="11"/>
        <v>0</v>
      </c>
      <c r="T27" s="23">
        <f t="shared" si="12"/>
        <v>0</v>
      </c>
      <c r="U27" s="13">
        <f>SUM(B26*'Life Table - Female'!B81,U26)</f>
        <v>262.94284401850166</v>
      </c>
      <c r="V27" s="49">
        <f t="shared" si="14"/>
        <v>0</v>
      </c>
      <c r="W27" s="54">
        <v>1.3333333333333333</v>
      </c>
      <c r="X27" s="13">
        <f t="shared" si="15"/>
        <v>2926775.5736190309</v>
      </c>
      <c r="Y27" s="25">
        <f t="shared" si="15"/>
        <v>304.72190489621454</v>
      </c>
    </row>
    <row r="28" spans="1:25" x14ac:dyDescent="0.2">
      <c r="A28" s="10">
        <v>25</v>
      </c>
      <c r="B28" s="15">
        <f t="shared" si="13"/>
        <v>480.31796374583536</v>
      </c>
      <c r="C28" s="27">
        <f>(1-SUM(pHealthyStage1,pHealthyStage2,pHealthyStage3))*C27*(1-'Life Table - Female'!B82)</f>
        <v>81.990306518117421</v>
      </c>
      <c r="D28" s="19">
        <f t="shared" si="2"/>
        <v>0</v>
      </c>
      <c r="E28" s="20">
        <f t="shared" si="1"/>
        <v>26.106018012348958</v>
      </c>
      <c r="F28" s="27">
        <f>SUM(pHealthyStage1*C27,(1-SUM(pStage1Remission,pStage1Stage2))*F27,pStage2Stage1*I27,pRemissionStage1_trtC*O27)*(1-'Life Table - Female'!B82)</f>
        <v>60.259391629421771</v>
      </c>
      <c r="G28" s="19">
        <f t="shared" si="3"/>
        <v>30698.90244536669</v>
      </c>
      <c r="H28" s="20">
        <f t="shared" si="4"/>
        <v>16.884396344951682</v>
      </c>
      <c r="I28" s="27">
        <f>SUM(pHealthyStage2*C27,pStage1Stage2*F27,(1-SUM(pStage2Remission, pStage2Stage1, pStage2Stage3))*I27,pStage3Stage2*L27,pRemissionStage2_trtC*O27)*(1-'Life Table - Female'!B82)</f>
        <v>36.4276155194976</v>
      </c>
      <c r="J28" s="19">
        <f t="shared" si="5"/>
        <v>83510.553825765688</v>
      </c>
      <c r="K28" s="20">
        <f t="shared" si="6"/>
        <v>8.2350685022630046</v>
      </c>
      <c r="L28" s="27">
        <f>SUM(pHealthyStage3*C27,pStage2Stage3*I27,(1-SUM(pStage3Death, pStage3Stage2))*L27)*(1-'Life Table - Female'!B82)</f>
        <v>13.18319412872625</v>
      </c>
      <c r="M28" s="19">
        <f t="shared" si="7"/>
        <v>97383.808618443101</v>
      </c>
      <c r="N28" s="20">
        <f t="shared" si="8"/>
        <v>1.5111280647689447</v>
      </c>
      <c r="O28" s="27">
        <f>SUM(pStage1Remission*F27,pStage2Remission*I27,(1-SUM(pRemissionStage1_trtC, pRemissionStage2_trtC))*O27)*(1-'Life Table - Female'!B82)</f>
        <v>288.4574559500723</v>
      </c>
      <c r="P28" s="19">
        <f t="shared" si="9"/>
        <v>1157258.6546371568</v>
      </c>
      <c r="Q28" s="20">
        <f t="shared" si="10"/>
        <v>87.253628722642787</v>
      </c>
      <c r="R28" s="27">
        <f>SUM(pStage3Death*L27*(1-'Life Table - Female'!B82),R27)</f>
        <v>235.83145517306858</v>
      </c>
      <c r="S28" s="19">
        <f t="shared" si="11"/>
        <v>0</v>
      </c>
      <c r="T28" s="23">
        <f t="shared" si="12"/>
        <v>0</v>
      </c>
      <c r="U28" s="13">
        <f>SUM(B27*'Life Table - Female'!B82,U27)</f>
        <v>283.85058108109627</v>
      </c>
      <c r="V28" s="49">
        <f t="shared" si="14"/>
        <v>0</v>
      </c>
      <c r="W28" s="54">
        <v>0.66666666666666663</v>
      </c>
      <c r="X28" s="13">
        <f t="shared" si="15"/>
        <v>1368851.9195267323</v>
      </c>
      <c r="Y28" s="25">
        <f t="shared" si="15"/>
        <v>139.99023964697537</v>
      </c>
    </row>
    <row r="29" spans="1:25" x14ac:dyDescent="0.2">
      <c r="A29" s="10">
        <v>26</v>
      </c>
      <c r="B29" s="15">
        <f t="shared" si="13"/>
        <v>452.58981803654194</v>
      </c>
      <c r="C29" s="27">
        <f>(1-SUM(pHealthyStage1,pHealthyStage2,pHealthyStage3))*C28*(1-'Life Table - Female'!B83)</f>
        <v>71.965390544515614</v>
      </c>
      <c r="D29" s="19">
        <f t="shared" si="2"/>
        <v>0</v>
      </c>
      <c r="E29" s="20">
        <f t="shared" si="1"/>
        <v>44.493296204726256</v>
      </c>
      <c r="F29" s="27">
        <f>SUM(pHealthyStage1*C28,(1-SUM(pStage1Remission,pStage1Stage2))*F28,pStage2Stage1*I28,pRemissionStage1_trtC*O28)*(1-'Life Table - Female'!B83)</f>
        <v>56.778069262771737</v>
      </c>
      <c r="G29" s="19">
        <f t="shared" si="3"/>
        <v>56165.741549408995</v>
      </c>
      <c r="H29" s="20">
        <f t="shared" si="4"/>
        <v>30.891157852174945</v>
      </c>
      <c r="I29" s="27">
        <f>SUM(pHealthyStage2*C28,pStage1Stage2*F28,(1-SUM(pStage2Remission, pStage2Stage1, pStage2Stage3))*I28,pStage3Stage2*L28,pRemissionStage2_trtC*O28)*(1-'Life Table - Female'!B83)</f>
        <v>34.298867085119788</v>
      </c>
      <c r="J29" s="19">
        <f t="shared" si="5"/>
        <v>152680.35671504744</v>
      </c>
      <c r="K29" s="20">
        <f t="shared" si="6"/>
        <v>15.055979620511623</v>
      </c>
      <c r="L29" s="27">
        <f>SUM(pHealthyStage3*C28,pStage2Stage3*I28,(1-SUM(pStage3Death, pStage3Stage2))*L28)*(1-'Life Table - Female'!B83)</f>
        <v>12.284069291280074</v>
      </c>
      <c r="M29" s="19">
        <f t="shared" si="7"/>
        <v>176198.06580673993</v>
      </c>
      <c r="N29" s="20">
        <f t="shared" si="8"/>
        <v>2.7341079176907912</v>
      </c>
      <c r="O29" s="27">
        <f>SUM(pStage1Remission*F28,pStage2Remission*I28,(1-SUM(pRemissionStage1_trtC, pRemissionStage2_trtC))*O28)*(1-'Life Table - Female'!B83)</f>
        <v>277.26342185285472</v>
      </c>
      <c r="P29" s="19">
        <f t="shared" si="9"/>
        <v>2159901.8586554057</v>
      </c>
      <c r="Q29" s="20">
        <f t="shared" si="10"/>
        <v>162.84974331132028</v>
      </c>
      <c r="R29" s="27">
        <f>SUM(pStage3Death*L28*(1-'Life Table - Female'!B83),R28)</f>
        <v>241.49132587945638</v>
      </c>
      <c r="S29" s="19">
        <f t="shared" si="11"/>
        <v>0</v>
      </c>
      <c r="T29" s="23">
        <f t="shared" si="12"/>
        <v>0</v>
      </c>
      <c r="U29" s="13">
        <f>SUM(B28*'Life Table - Female'!B83,U28)</f>
        <v>305.91885608400185</v>
      </c>
      <c r="V29" s="49">
        <f t="shared" si="14"/>
        <v>0</v>
      </c>
      <c r="W29" s="54">
        <v>1.3333333333333333</v>
      </c>
      <c r="X29" s="13">
        <f t="shared" si="15"/>
        <v>2544946.0227266019</v>
      </c>
      <c r="Y29" s="25">
        <f t="shared" si="15"/>
        <v>256.02428490642387</v>
      </c>
    </row>
    <row r="30" spans="1:25" x14ac:dyDescent="0.2">
      <c r="A30" s="10">
        <v>27</v>
      </c>
      <c r="B30" s="15">
        <f t="shared" si="13"/>
        <v>424.21523205810092</v>
      </c>
      <c r="C30" s="27">
        <f>(1-SUM(pHealthyStage1,pHealthyStage2,pHealthyStage3))*C29*(1-'Life Table - Female'!B84)</f>
        <v>62.824642863394182</v>
      </c>
      <c r="D30" s="19">
        <f t="shared" si="2"/>
        <v>0</v>
      </c>
      <c r="E30" s="20">
        <f t="shared" si="1"/>
        <v>18.855311099652393</v>
      </c>
      <c r="F30" s="27">
        <f>SUM(pHealthyStage1*C29,(1-SUM(pStage1Remission,pStage1Stage2))*F29,pStage2Stage1*I29,pRemissionStage1_trtC*O29)*(1-'Life Table - Female'!B84)</f>
        <v>53.216095452970109</v>
      </c>
      <c r="G30" s="19">
        <f t="shared" si="3"/>
        <v>25554.457347734799</v>
      </c>
      <c r="H30" s="20">
        <f t="shared" si="4"/>
        <v>14.054951541254139</v>
      </c>
      <c r="I30" s="27">
        <f>SUM(pHealthyStage2*C29,pStage1Stage2*F29,(1-SUM(pStage2Remission, pStage2Stage1, pStage2Stage3))*I29,pStage3Stage2*L29,pRemissionStage2_trtC*O29)*(1-'Life Table - Female'!B84)</f>
        <v>32.125727125314448</v>
      </c>
      <c r="J30" s="19">
        <f t="shared" si="5"/>
        <v>69420.723649567924</v>
      </c>
      <c r="K30" s="20">
        <f t="shared" si="6"/>
        <v>6.8456546932212827</v>
      </c>
      <c r="L30" s="27">
        <f>SUM(pHealthyStage3*C29,pStage2Stage3*I29,(1-SUM(pStage3Death, pStage3Stage2))*L29)*(1-'Life Table - Female'!B84)</f>
        <v>11.392934827250913</v>
      </c>
      <c r="M30" s="19">
        <f t="shared" si="7"/>
        <v>79328.14005123933</v>
      </c>
      <c r="N30" s="20">
        <f t="shared" si="8"/>
        <v>1.230953897346817</v>
      </c>
      <c r="O30" s="27">
        <f>SUM(pStage1Remission*F29,pStage2Remission*I29,(1-SUM(pRemissionStage1_trtC, pRemissionStage2_trtC))*O29)*(1-'Life Table - Female'!B84)</f>
        <v>264.65583178917126</v>
      </c>
      <c r="P30" s="19">
        <f t="shared" si="9"/>
        <v>1000819.3357344853</v>
      </c>
      <c r="Q30" s="20">
        <f t="shared" si="10"/>
        <v>75.458600710139763</v>
      </c>
      <c r="R30" s="27">
        <f>SUM(pStage3Death*L29*(1-'Life Table - Female'!B84),R29)</f>
        <v>246.73666155147876</v>
      </c>
      <c r="S30" s="19">
        <f t="shared" si="11"/>
        <v>0</v>
      </c>
      <c r="T30" s="23">
        <f t="shared" si="12"/>
        <v>0</v>
      </c>
      <c r="U30" s="13">
        <f>SUM(B29*'Life Table - Female'!B84,U29)</f>
        <v>329.04810639042046</v>
      </c>
      <c r="V30" s="49">
        <f t="shared" si="14"/>
        <v>0</v>
      </c>
      <c r="W30" s="54">
        <v>0.66666666666666663</v>
      </c>
      <c r="X30" s="13">
        <f t="shared" si="15"/>
        <v>1175122.6567830273</v>
      </c>
      <c r="Y30" s="25">
        <f t="shared" si="15"/>
        <v>116.44547194161439</v>
      </c>
    </row>
    <row r="31" spans="1:25" x14ac:dyDescent="0.2">
      <c r="A31" s="10">
        <v>28</v>
      </c>
      <c r="B31" s="15">
        <f t="shared" si="13"/>
        <v>395.15383333872609</v>
      </c>
      <c r="C31" s="27">
        <f>(1-SUM(pHealthyStage1,pHealthyStage2,pHealthyStage3))*C30*(1-'Life Table - Female'!B85)</f>
        <v>54.4977287814595</v>
      </c>
      <c r="D31" s="19">
        <f t="shared" si="2"/>
        <v>0</v>
      </c>
      <c r="E31" s="20">
        <f t="shared" si="1"/>
        <v>31.759587134617032</v>
      </c>
      <c r="F31" s="27">
        <f>SUM(pHealthyStage1*C30,(1-SUM(pStage1Remission,pStage1Stage2))*F30,pStage2Stage1*I30,pRemissionStage1_trtC*O30)*(1-'Life Table - Female'!B85)</f>
        <v>49.568400284241001</v>
      </c>
      <c r="G31" s="19">
        <f t="shared" si="3"/>
        <v>46219.08363965452</v>
      </c>
      <c r="H31" s="20">
        <f t="shared" si="4"/>
        <v>25.420496001809987</v>
      </c>
      <c r="I31" s="27">
        <f>SUM(pHealthyStage2*C30,pStage1Stage2*F30,(1-SUM(pStage2Remission, pStage2Stage1, pStage2Stage3))*I30,pStage3Stage2*L30,pRemissionStage2_trtC*O30)*(1-'Life Table - Female'!B85)</f>
        <v>29.904950830969174</v>
      </c>
      <c r="J31" s="19">
        <f t="shared" si="5"/>
        <v>125479.28460404379</v>
      </c>
      <c r="K31" s="20">
        <f t="shared" si="6"/>
        <v>12.373651676232095</v>
      </c>
      <c r="L31" s="27">
        <f>SUM(pHealthyStage3*C30,pStage2Stage3*I30,(1-SUM(pStage3Death, pStage3Stage2))*L30)*(1-'Life Table - Female'!B85)</f>
        <v>10.507151792463979</v>
      </c>
      <c r="M31" s="19">
        <f t="shared" si="7"/>
        <v>142059.22338672026</v>
      </c>
      <c r="N31" s="20">
        <f t="shared" si="8"/>
        <v>2.2043672594491075</v>
      </c>
      <c r="O31" s="27">
        <f>SUM(pStage1Remission*F30,pStage2Remission*I30,(1-SUM(pRemissionStage1_trtC, pRemissionStage2_trtC))*O30)*(1-'Life Table - Female'!B85)</f>
        <v>250.67560164959244</v>
      </c>
      <c r="P31" s="19">
        <f t="shared" si="9"/>
        <v>1840683.2315431868</v>
      </c>
      <c r="Q31" s="20">
        <f t="shared" si="10"/>
        <v>138.78167221952597</v>
      </c>
      <c r="R31" s="27">
        <f>SUM(pStage3Death*L30*(1-'Life Table - Female'!B85),R30)</f>
        <v>251.57068412629954</v>
      </c>
      <c r="S31" s="19">
        <f t="shared" si="11"/>
        <v>0</v>
      </c>
      <c r="T31" s="23">
        <f t="shared" si="12"/>
        <v>0</v>
      </c>
      <c r="U31" s="13">
        <f>SUM(B30*'Life Table - Female'!B85,U30)</f>
        <v>353.27548253497451</v>
      </c>
      <c r="V31" s="49">
        <f t="shared" si="14"/>
        <v>0</v>
      </c>
      <c r="W31" s="54">
        <v>1.3333333333333333</v>
      </c>
      <c r="X31" s="13">
        <f t="shared" si="15"/>
        <v>2154440.8231736054</v>
      </c>
      <c r="Y31" s="25">
        <f t="shared" si="15"/>
        <v>210.53977429163422</v>
      </c>
    </row>
    <row r="32" spans="1:25" x14ac:dyDescent="0.2">
      <c r="A32" s="10">
        <v>29</v>
      </c>
      <c r="B32" s="15">
        <f t="shared" si="13"/>
        <v>365.37473071456873</v>
      </c>
      <c r="C32" s="27">
        <f>(1-SUM(pHealthyStage1,pHealthyStage2,pHealthyStage3))*C31*(1-'Life Table - Female'!B86)</f>
        <v>46.920911012275376</v>
      </c>
      <c r="D32" s="19">
        <f t="shared" si="2"/>
        <v>0</v>
      </c>
      <c r="E32" s="20">
        <f t="shared" si="1"/>
        <v>13.273811935950674</v>
      </c>
      <c r="F32" s="27">
        <f>SUM(pHealthyStage1*C31,(1-SUM(pStage1Remission,pStage1Stage2))*F31,pStage2Stage1*I31,pRemissionStage1_trtC*O31)*(1-'Life Table - Female'!B86)</f>
        <v>45.831094936029835</v>
      </c>
      <c r="G32" s="19">
        <f t="shared" si="3"/>
        <v>20744.808977486555</v>
      </c>
      <c r="H32" s="20">
        <f t="shared" si="4"/>
        <v>11.409644937617605</v>
      </c>
      <c r="I32" s="27">
        <f>SUM(pHealthyStage2*C31,pStage1Stage2*F31,(1-SUM(pStage2Remission, pStage2Stage1, pStage2Stage3))*I31,pStage3Stage2*L31,pRemissionStage2_trtC*O31)*(1-'Life Table - Female'!B86)</f>
        <v>27.633988513329214</v>
      </c>
      <c r="J32" s="19">
        <f t="shared" si="5"/>
        <v>56286.636007245521</v>
      </c>
      <c r="K32" s="20">
        <f t="shared" si="6"/>
        <v>5.5504877173811566</v>
      </c>
      <c r="L32" s="27">
        <f>SUM(pHealthyStage3*C31,pStage2Stage3*I31,(1-SUM(pStage3Death, pStage3Stage2))*L31)*(1-'Life Table - Female'!B86)</f>
        <v>9.624424389728329</v>
      </c>
      <c r="M32" s="19">
        <f t="shared" si="7"/>
        <v>63167.250608934461</v>
      </c>
      <c r="N32" s="20">
        <f t="shared" si="8"/>
        <v>0.98018147496622443</v>
      </c>
      <c r="O32" s="27">
        <f>SUM(pStage1Remission*F31,pStage2Remission*I31,(1-SUM(pRemissionStage1_trtC, pRemissionStage2_trtC))*O31)*(1-'Life Table - Female'!B86)</f>
        <v>235.36431186320596</v>
      </c>
      <c r="P32" s="19">
        <f t="shared" si="9"/>
        <v>838958.31225964765</v>
      </c>
      <c r="Q32" s="20">
        <f t="shared" si="10"/>
        <v>63.254793384655962</v>
      </c>
      <c r="R32" s="27">
        <f>SUM(pStage3Death*L31*(1-'Life Table - Female'!B86),R31)</f>
        <v>255.99552569412231</v>
      </c>
      <c r="S32" s="19">
        <f t="shared" si="11"/>
        <v>0</v>
      </c>
      <c r="T32" s="23">
        <f t="shared" si="12"/>
        <v>0</v>
      </c>
      <c r="U32" s="13">
        <f>SUM(B31*'Life Table - Female'!B86,U31)</f>
        <v>378.62974359130908</v>
      </c>
      <c r="V32" s="49">
        <f t="shared" si="14"/>
        <v>0</v>
      </c>
      <c r="W32" s="54">
        <v>0.66666666666666663</v>
      </c>
      <c r="X32" s="13">
        <f t="shared" si="15"/>
        <v>979157.00785331416</v>
      </c>
      <c r="Y32" s="25">
        <f t="shared" si="15"/>
        <v>94.468919450571619</v>
      </c>
    </row>
    <row r="33" spans="1:25" ht="16" thickBot="1" x14ac:dyDescent="0.25">
      <c r="A33" s="11">
        <v>30</v>
      </c>
      <c r="B33" s="166">
        <f t="shared" si="13"/>
        <v>334.92122616440417</v>
      </c>
      <c r="C33" s="28">
        <f>(1-SUM(pHealthyStage1,pHealthyStage2,pHealthyStage3))*C32*(1-'Life Table - Female'!B87)</f>
        <v>40.043969009149471</v>
      </c>
      <c r="D33" s="21">
        <f t="shared" si="2"/>
        <v>0</v>
      </c>
      <c r="E33" s="22">
        <f t="shared" si="1"/>
        <v>5.4991950100782976</v>
      </c>
      <c r="F33" s="28">
        <f>SUM(pHealthyStage1*C32,(1-SUM(pStage1Remission,pStage1Stage2))*F32,pStage2Stage1*I32,pRemissionStage1_trtC*O32)*(1-'Life Table - Female'!B87)</f>
        <v>42.009592407140964</v>
      </c>
      <c r="G33" s="21">
        <f t="shared" si="3"/>
        <v>9230.6111170144268</v>
      </c>
      <c r="H33" s="22">
        <f t="shared" si="4"/>
        <v>5.0768361143579357</v>
      </c>
      <c r="I33" s="28">
        <f>SUM(pHealthyStage2*C32,pStage1Stage2*F32,(1-SUM(pStage2Remission, pStage2Stage1, pStage2Stage3))*I32,pStage3Stage2*L32,pRemissionStage2_trtC*O32)*(1-'Life Table - Female'!B87)</f>
        <v>25.315890280279898</v>
      </c>
      <c r="J33" s="21">
        <f t="shared" si="5"/>
        <v>25031.547841998621</v>
      </c>
      <c r="K33" s="22">
        <f t="shared" si="6"/>
        <v>2.4683887455304196</v>
      </c>
      <c r="L33" s="28">
        <f>SUM(pHealthyStage3*C32,pStage2Stage3*I32,(1-SUM(pStage3Death, pStage3Stage2))*L32)*(1-'Life Table - Female'!B87)</f>
        <v>8.7444848071379369</v>
      </c>
      <c r="M33" s="21">
        <f t="shared" si="7"/>
        <v>27860.199152143014</v>
      </c>
      <c r="N33" s="22">
        <f t="shared" si="8"/>
        <v>0.43231343511946058</v>
      </c>
      <c r="O33" s="28">
        <f>SUM(pStage1Remission*F32,pStage2Remission*I32,(1-SUM(pRemissionStage1_trtC, pRemissionStage2_trtC))*O32)*(1-'Life Table - Female'!B87)</f>
        <v>218.80728966069591</v>
      </c>
      <c r="P33" s="21">
        <f t="shared" si="9"/>
        <v>378611.96614822774</v>
      </c>
      <c r="Q33" s="22">
        <f t="shared" si="10"/>
        <v>28.54614030482669</v>
      </c>
      <c r="R33" s="28">
        <f>SUM(pStage3Death*L32*(1-'Life Table - Female'!B87),R32)</f>
        <v>260.01315748861987</v>
      </c>
      <c r="S33" s="21">
        <f t="shared" si="11"/>
        <v>0</v>
      </c>
      <c r="T33" s="24">
        <f t="shared" si="12"/>
        <v>0</v>
      </c>
      <c r="U33" s="166">
        <f>SUM(B32*'Life Table - Female'!B87,U32)</f>
        <v>405.06561634697601</v>
      </c>
      <c r="V33" s="49">
        <f t="shared" si="14"/>
        <v>0</v>
      </c>
      <c r="W33" s="54">
        <v>0.33333333333333331</v>
      </c>
      <c r="X33" s="13">
        <f t="shared" si="15"/>
        <v>440734.32425938384</v>
      </c>
      <c r="Y33" s="25">
        <f t="shared" si="15"/>
        <v>42.022873609912807</v>
      </c>
    </row>
    <row r="34" spans="1:25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7"/>
      <c r="V34" s="29" t="s">
        <v>80</v>
      </c>
      <c r="W34" s="53"/>
      <c r="X34" s="30">
        <f>SUM(X3:X33)</f>
        <v>70248924.511263728</v>
      </c>
      <c r="Y34" s="31">
        <f>SUM(Y3:Y33)</f>
        <v>13773.464772066656</v>
      </c>
    </row>
    <row r="35" spans="1:25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7"/>
      <c r="V35" s="8"/>
      <c r="W35" s="8"/>
      <c r="X35" s="7"/>
      <c r="Y35" s="6"/>
    </row>
    <row r="36" spans="1:25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7"/>
      <c r="V36" s="8"/>
      <c r="W36" s="8"/>
      <c r="X36" s="7"/>
      <c r="Y36" s="6"/>
    </row>
    <row r="37" spans="1:25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7"/>
      <c r="V37" s="8"/>
      <c r="W37" s="8"/>
      <c r="X37" s="7"/>
      <c r="Y37" s="6"/>
    </row>
    <row r="38" spans="1:25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7"/>
      <c r="V38" s="8"/>
      <c r="W38" s="8"/>
      <c r="X38" s="7"/>
      <c r="Y38" s="6"/>
    </row>
    <row r="39" spans="1:25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7"/>
      <c r="V39" s="8"/>
      <c r="W39" s="8"/>
      <c r="X39" s="7"/>
      <c r="Y39" s="6"/>
    </row>
    <row r="40" spans="1:25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7"/>
      <c r="V40" s="8"/>
      <c r="W40" s="8"/>
      <c r="X40" s="7"/>
      <c r="Y40" s="6"/>
    </row>
    <row r="41" spans="1:25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7"/>
      <c r="V41" s="8"/>
      <c r="W41" s="8"/>
      <c r="X41" s="7"/>
      <c r="Y41" s="6"/>
    </row>
    <row r="42" spans="1:25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7"/>
      <c r="V42" s="8"/>
      <c r="W42" s="8"/>
      <c r="X42" s="7"/>
      <c r="Y42" s="6"/>
    </row>
    <row r="43" spans="1:25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7"/>
      <c r="V43" s="8"/>
      <c r="W43" s="8"/>
      <c r="X43" s="7"/>
      <c r="Y43" s="6"/>
    </row>
    <row r="44" spans="1:25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7"/>
      <c r="V44" s="8"/>
      <c r="W44" s="8"/>
      <c r="X44" s="7"/>
      <c r="Y44" s="6"/>
    </row>
    <row r="45" spans="1:25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7"/>
      <c r="V45" s="8"/>
      <c r="W45" s="8"/>
      <c r="X45" s="7"/>
      <c r="Y45" s="6"/>
    </row>
    <row r="46" spans="1:25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7"/>
      <c r="V46" s="8"/>
      <c r="W46" s="8"/>
      <c r="X46" s="7"/>
      <c r="Y46" s="6"/>
    </row>
    <row r="47" spans="1:25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7"/>
      <c r="V47" s="8"/>
      <c r="W47" s="8"/>
      <c r="X47" s="7"/>
      <c r="Y47" s="6"/>
    </row>
    <row r="48" spans="1:25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7"/>
      <c r="V48" s="8"/>
      <c r="W48" s="8"/>
      <c r="X48" s="7"/>
      <c r="Y48" s="6"/>
    </row>
    <row r="49" spans="2:25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7"/>
      <c r="V49" s="8"/>
      <c r="W49" s="8"/>
      <c r="X49" s="7"/>
      <c r="Y49" s="6"/>
    </row>
    <row r="50" spans="2:25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7"/>
      <c r="V50" s="8"/>
      <c r="W50" s="8"/>
      <c r="X50" s="7"/>
      <c r="Y50" s="6"/>
    </row>
    <row r="51" spans="2:25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7"/>
      <c r="V51" s="8"/>
      <c r="W51" s="8"/>
      <c r="X51" s="7"/>
      <c r="Y51" s="6"/>
    </row>
    <row r="52" spans="2:25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7"/>
      <c r="V52" s="8"/>
      <c r="W52" s="8"/>
      <c r="X52" s="7"/>
      <c r="Y52" s="6"/>
    </row>
    <row r="53" spans="2:25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7"/>
      <c r="V53" s="8"/>
      <c r="W53" s="8"/>
      <c r="X53" s="7"/>
      <c r="Y53" s="6"/>
    </row>
    <row r="54" spans="2:25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7"/>
      <c r="V54" s="8"/>
      <c r="W54" s="8"/>
      <c r="X54" s="7"/>
      <c r="Y54" s="6"/>
    </row>
    <row r="55" spans="2:25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7"/>
      <c r="V55" s="8"/>
      <c r="W55" s="8"/>
      <c r="X55" s="7"/>
      <c r="Y55" s="6"/>
    </row>
    <row r="56" spans="2:25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7"/>
      <c r="V56" s="8"/>
      <c r="W56" s="8"/>
      <c r="X56" s="7"/>
      <c r="Y56" s="6"/>
    </row>
    <row r="57" spans="2:25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7"/>
      <c r="V57" s="8"/>
      <c r="W57" s="8"/>
      <c r="X57" s="7"/>
      <c r="Y57" s="6"/>
    </row>
    <row r="58" spans="2:25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7"/>
      <c r="V58" s="8"/>
      <c r="W58" s="8"/>
      <c r="X58" s="7"/>
      <c r="Y58" s="6"/>
    </row>
    <row r="59" spans="2:25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7"/>
      <c r="V59" s="8"/>
      <c r="W59" s="8"/>
      <c r="X59" s="7"/>
      <c r="Y59" s="6"/>
    </row>
    <row r="60" spans="2:25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7"/>
      <c r="V60" s="8"/>
      <c r="W60" s="8"/>
      <c r="X60" s="7"/>
      <c r="Y60" s="6"/>
    </row>
    <row r="61" spans="2:25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7"/>
      <c r="V61" s="8"/>
      <c r="W61" s="8"/>
      <c r="X61" s="7"/>
      <c r="Y61" s="6"/>
    </row>
    <row r="62" spans="2:25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7"/>
      <c r="V62" s="8"/>
      <c r="W62" s="8"/>
      <c r="X62" s="7"/>
      <c r="Y62" s="6"/>
    </row>
    <row r="63" spans="2:25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7"/>
      <c r="V63" s="8"/>
      <c r="W63" s="8"/>
      <c r="X63" s="7"/>
      <c r="Y63" s="6"/>
    </row>
    <row r="64" spans="2:25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7"/>
      <c r="V64" s="8"/>
      <c r="W64" s="8"/>
      <c r="X64" s="7"/>
      <c r="Y64" s="6"/>
    </row>
    <row r="65" spans="2:25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7"/>
      <c r="V65" s="8"/>
      <c r="W65" s="8"/>
      <c r="X65" s="7"/>
      <c r="Y65" s="6"/>
    </row>
    <row r="66" spans="2:25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7"/>
      <c r="V66" s="8"/>
      <c r="W66" s="8"/>
      <c r="X66" s="7"/>
      <c r="Y66" s="6"/>
    </row>
    <row r="67" spans="2:25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7"/>
      <c r="V67" s="8"/>
      <c r="W67" s="8"/>
      <c r="X67" s="7"/>
      <c r="Y67" s="6"/>
    </row>
    <row r="68" spans="2:25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7"/>
      <c r="V68" s="8"/>
      <c r="W68" s="8"/>
      <c r="X68" s="7"/>
      <c r="Y68" s="6"/>
    </row>
    <row r="69" spans="2:25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7"/>
      <c r="V69" s="8"/>
      <c r="W69" s="8"/>
      <c r="X69" s="7"/>
      <c r="Y69" s="6"/>
    </row>
    <row r="70" spans="2:25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7"/>
      <c r="V70" s="8"/>
      <c r="W70" s="8"/>
      <c r="X70" s="7"/>
      <c r="Y70" s="6"/>
    </row>
    <row r="71" spans="2:25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7"/>
      <c r="V71" s="8"/>
      <c r="W71" s="8"/>
      <c r="X71" s="7"/>
      <c r="Y71" s="6"/>
    </row>
    <row r="72" spans="2:25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7"/>
      <c r="V72" s="8"/>
      <c r="W72" s="8"/>
      <c r="X72" s="7"/>
      <c r="Y72" s="6"/>
    </row>
    <row r="73" spans="2:25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7"/>
      <c r="V73" s="8"/>
      <c r="W73" s="8"/>
      <c r="X73" s="7"/>
      <c r="Y73" s="6"/>
    </row>
    <row r="74" spans="2:25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7"/>
      <c r="V74" s="8"/>
      <c r="W74" s="8"/>
      <c r="X74" s="7"/>
      <c r="Y74" s="6"/>
    </row>
    <row r="75" spans="2:25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7"/>
      <c r="V75" s="8"/>
      <c r="W75" s="8"/>
      <c r="X75" s="7"/>
      <c r="Y75" s="6"/>
    </row>
    <row r="76" spans="2:25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7"/>
      <c r="V76" s="8"/>
      <c r="W76" s="8"/>
      <c r="X76" s="7"/>
      <c r="Y76" s="6"/>
    </row>
    <row r="77" spans="2:25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7"/>
      <c r="V77" s="8"/>
      <c r="W77" s="8"/>
      <c r="X77" s="7"/>
      <c r="Y77" s="6"/>
    </row>
    <row r="78" spans="2:25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7"/>
      <c r="V78" s="8"/>
      <c r="W78" s="8"/>
      <c r="X78" s="7"/>
      <c r="Y78" s="6"/>
    </row>
    <row r="79" spans="2:25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7"/>
      <c r="V79" s="8"/>
      <c r="W79" s="8"/>
      <c r="X79" s="7"/>
      <c r="Y79" s="6"/>
    </row>
    <row r="80" spans="2:25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7"/>
      <c r="V80" s="8"/>
      <c r="W80" s="8"/>
      <c r="X80" s="7"/>
      <c r="Y80" s="6"/>
    </row>
    <row r="81" spans="2:25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7"/>
      <c r="V81" s="8"/>
      <c r="W81" s="8"/>
      <c r="X81" s="7"/>
      <c r="Y81" s="6"/>
    </row>
    <row r="82" spans="2:25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7"/>
      <c r="V82" s="8"/>
      <c r="W82" s="8"/>
      <c r="X82" s="7"/>
      <c r="Y82" s="6"/>
    </row>
    <row r="83" spans="2:25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7"/>
      <c r="V83" s="8"/>
      <c r="W83" s="8"/>
      <c r="X83" s="7"/>
      <c r="Y83" s="6"/>
    </row>
    <row r="84" spans="2:25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7"/>
      <c r="V84" s="8"/>
      <c r="W84" s="8"/>
      <c r="X84" s="7"/>
      <c r="Y84" s="6"/>
    </row>
    <row r="85" spans="2:25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7"/>
      <c r="V85" s="8"/>
      <c r="W85" s="8"/>
      <c r="X85" s="7"/>
      <c r="Y85" s="6"/>
    </row>
    <row r="86" spans="2:25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7"/>
      <c r="V86" s="8"/>
      <c r="W86" s="8"/>
      <c r="X86" s="7"/>
      <c r="Y86" s="6"/>
    </row>
    <row r="87" spans="2:25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7"/>
      <c r="V87" s="8"/>
      <c r="W87" s="8"/>
      <c r="X87" s="7"/>
      <c r="Y87" s="6"/>
    </row>
    <row r="88" spans="2:25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7"/>
      <c r="V88" s="8"/>
      <c r="W88" s="8"/>
      <c r="X88" s="7"/>
      <c r="Y88" s="6"/>
    </row>
    <row r="89" spans="2:25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7"/>
      <c r="V89" s="8"/>
      <c r="W89" s="8"/>
      <c r="X89" s="7"/>
      <c r="Y89" s="6"/>
    </row>
    <row r="90" spans="2:25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7"/>
      <c r="V90" s="8"/>
      <c r="W90" s="8"/>
      <c r="X90" s="7"/>
      <c r="Y90" s="6"/>
    </row>
    <row r="91" spans="2:25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7"/>
      <c r="V91" s="8"/>
      <c r="W91" s="8"/>
      <c r="X91" s="7"/>
      <c r="Y91" s="6"/>
    </row>
    <row r="92" spans="2:25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7"/>
      <c r="V92" s="8"/>
      <c r="W92" s="8"/>
      <c r="X92" s="7"/>
      <c r="Y92" s="6"/>
    </row>
    <row r="93" spans="2:25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7"/>
      <c r="V93" s="8"/>
      <c r="W93" s="8"/>
      <c r="X93" s="7"/>
      <c r="Y93" s="6"/>
    </row>
    <row r="94" spans="2:25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7"/>
      <c r="V94" s="8"/>
      <c r="W94" s="8"/>
      <c r="X94" s="7"/>
      <c r="Y94" s="6"/>
    </row>
    <row r="95" spans="2:25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7"/>
      <c r="V95" s="8"/>
      <c r="W95" s="8"/>
      <c r="X95" s="7"/>
      <c r="Y95" s="6"/>
    </row>
    <row r="96" spans="2:25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7"/>
      <c r="V96" s="8"/>
      <c r="W96" s="8"/>
      <c r="X96" s="7"/>
      <c r="Y96" s="6"/>
    </row>
    <row r="97" spans="2:25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7"/>
      <c r="V97" s="8"/>
      <c r="W97" s="8"/>
      <c r="X97" s="7"/>
      <c r="Y97" s="6"/>
    </row>
    <row r="98" spans="2:25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7"/>
      <c r="V98" s="8"/>
      <c r="W98" s="8"/>
      <c r="X98" s="7"/>
      <c r="Y98" s="6"/>
    </row>
    <row r="99" spans="2:25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7"/>
      <c r="V99" s="8"/>
      <c r="W99" s="8"/>
      <c r="X99" s="7"/>
      <c r="Y99" s="6"/>
    </row>
    <row r="100" spans="2:25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7"/>
      <c r="V100" s="8"/>
      <c r="W100" s="8"/>
      <c r="X100" s="7"/>
      <c r="Y100" s="6"/>
    </row>
    <row r="101" spans="2:25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7"/>
      <c r="V101" s="8"/>
      <c r="W101" s="8"/>
      <c r="X101" s="7"/>
      <c r="Y101" s="6"/>
    </row>
    <row r="102" spans="2:25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7"/>
      <c r="V102" s="8"/>
      <c r="W102" s="8"/>
      <c r="X102" s="7"/>
      <c r="Y102" s="6"/>
    </row>
    <row r="103" spans="2:25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7"/>
      <c r="V103" s="8"/>
      <c r="W103" s="8"/>
      <c r="X103" s="7"/>
      <c r="Y103" s="6"/>
    </row>
    <row r="104" spans="2:25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7"/>
      <c r="V104" s="8"/>
      <c r="W104" s="8"/>
      <c r="X104" s="7"/>
      <c r="Y104" s="6"/>
    </row>
    <row r="105" spans="2:25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7"/>
      <c r="V105" s="8"/>
      <c r="W105" s="8"/>
      <c r="X105" s="7"/>
      <c r="Y105" s="6"/>
    </row>
    <row r="106" spans="2:25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7"/>
      <c r="V106" s="8"/>
      <c r="W106" s="8"/>
      <c r="X106" s="7"/>
      <c r="Y106" s="6"/>
    </row>
    <row r="107" spans="2:25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7"/>
      <c r="V107" s="8"/>
      <c r="W107" s="8"/>
      <c r="X107" s="7"/>
      <c r="Y107" s="6"/>
    </row>
    <row r="108" spans="2:25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7"/>
      <c r="V108" s="8"/>
      <c r="W108" s="8"/>
      <c r="X108" s="7"/>
      <c r="Y108" s="6"/>
    </row>
    <row r="109" spans="2:25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7"/>
      <c r="V109" s="8"/>
      <c r="W109" s="8"/>
      <c r="X109" s="7"/>
      <c r="Y109" s="6"/>
    </row>
    <row r="110" spans="2:25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7"/>
      <c r="V110" s="8"/>
      <c r="W110" s="8"/>
      <c r="X110" s="7"/>
      <c r="Y110" s="6"/>
    </row>
    <row r="111" spans="2:25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7"/>
      <c r="V111" s="8"/>
      <c r="W111" s="8"/>
      <c r="X111" s="7"/>
      <c r="Y111" s="6"/>
    </row>
    <row r="112" spans="2:25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7"/>
      <c r="V112" s="8"/>
      <c r="W112" s="8"/>
      <c r="X112" s="7"/>
      <c r="Y112" s="6"/>
    </row>
    <row r="113" spans="2:25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7"/>
      <c r="V113" s="8"/>
      <c r="W113" s="8"/>
      <c r="X113" s="7"/>
      <c r="Y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F9B3-88C5-9341-98B7-1BA3B9FC09EA}">
  <sheetPr codeName="Sheet7"/>
  <dimension ref="A1:X11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6" style="1" bestFit="1" customWidth="1"/>
    <col min="2" max="2" width="16.5" style="1" bestFit="1" customWidth="1"/>
    <col min="3" max="3" width="9.5" style="1" bestFit="1" customWidth="1"/>
    <col min="4" max="6" width="9.33203125" style="1" bestFit="1" customWidth="1"/>
    <col min="7" max="7" width="10.5" style="1" bestFit="1" customWidth="1"/>
    <col min="8" max="15" width="9.33203125" style="1" bestFit="1" customWidth="1"/>
    <col min="16" max="16" width="10.5" style="1" bestFit="1" customWidth="1"/>
    <col min="17" max="20" width="9.33203125" style="1" bestFit="1" customWidth="1"/>
    <col min="21" max="21" width="7.1640625" style="1" bestFit="1" customWidth="1"/>
    <col min="22" max="22" width="21.33203125" style="1" bestFit="1" customWidth="1"/>
    <col min="23" max="23" width="13.5" style="1" bestFit="1" customWidth="1"/>
    <col min="24" max="24" width="15" style="1" bestFit="1" customWidth="1"/>
    <col min="25" max="2000" width="8.83203125" style="1"/>
    <col min="2001" max="2001" width="2.33203125" style="1" customWidth="1"/>
    <col min="2002" max="16384" width="8.83203125" style="1"/>
  </cols>
  <sheetData>
    <row r="1" spans="1:24" x14ac:dyDescent="0.2">
      <c r="C1" s="215" t="s">
        <v>7</v>
      </c>
      <c r="D1" s="216"/>
      <c r="E1" s="217"/>
      <c r="F1" s="218" t="s">
        <v>8</v>
      </c>
      <c r="G1" s="219"/>
      <c r="H1" s="220"/>
      <c r="I1" s="221" t="s">
        <v>9</v>
      </c>
      <c r="J1" s="222"/>
      <c r="K1" s="223"/>
      <c r="L1" s="224" t="s">
        <v>10</v>
      </c>
      <c r="M1" s="225"/>
      <c r="N1" s="226"/>
      <c r="O1" s="227" t="s">
        <v>11</v>
      </c>
      <c r="P1" s="228"/>
      <c r="Q1" s="229"/>
      <c r="R1" s="212" t="s">
        <v>12</v>
      </c>
      <c r="S1" s="213"/>
      <c r="T1" s="214"/>
    </row>
    <row r="2" spans="1:24" x14ac:dyDescent="0.2">
      <c r="A2" s="2" t="s">
        <v>3</v>
      </c>
      <c r="B2" s="3" t="s">
        <v>85</v>
      </c>
      <c r="C2" s="3" t="s">
        <v>4</v>
      </c>
      <c r="D2" s="4" t="s">
        <v>5</v>
      </c>
      <c r="E2" s="5" t="s">
        <v>6</v>
      </c>
      <c r="F2" s="3" t="s">
        <v>4</v>
      </c>
      <c r="G2" s="4" t="s">
        <v>5</v>
      </c>
      <c r="H2" s="5" t="s">
        <v>6</v>
      </c>
      <c r="I2" s="3" t="s">
        <v>4</v>
      </c>
      <c r="J2" s="4" t="s">
        <v>5</v>
      </c>
      <c r="K2" s="5" t="s">
        <v>6</v>
      </c>
      <c r="L2" s="3" t="s">
        <v>4</v>
      </c>
      <c r="M2" s="4" t="s">
        <v>5</v>
      </c>
      <c r="N2" s="5" t="s">
        <v>6</v>
      </c>
      <c r="O2" s="3" t="s">
        <v>4</v>
      </c>
      <c r="P2" s="4" t="s">
        <v>5</v>
      </c>
      <c r="Q2" s="5" t="s">
        <v>6</v>
      </c>
      <c r="R2" s="3" t="s">
        <v>4</v>
      </c>
      <c r="S2" s="4" t="s">
        <v>5</v>
      </c>
      <c r="T2" s="5" t="s">
        <v>6</v>
      </c>
      <c r="U2" s="2" t="s">
        <v>13</v>
      </c>
      <c r="V2" s="2" t="s">
        <v>137</v>
      </c>
      <c r="W2" s="2" t="s">
        <v>14</v>
      </c>
      <c r="X2" s="2" t="s">
        <v>15</v>
      </c>
    </row>
    <row r="3" spans="1:24" x14ac:dyDescent="0.2">
      <c r="A3" s="9">
        <v>0</v>
      </c>
      <c r="B3" s="14">
        <f t="shared" ref="B3" si="0">nPop</f>
        <v>1000</v>
      </c>
      <c r="C3" s="26">
        <f>B3</f>
        <v>1000</v>
      </c>
      <c r="D3" s="17">
        <v>0</v>
      </c>
      <c r="E3" s="20">
        <f t="shared" ref="E3:E33" si="1">C3*uHealthy*V3/(1+discount_rate)^A3</f>
        <v>333.33333333333331</v>
      </c>
      <c r="F3" s="26">
        <v>0</v>
      </c>
      <c r="G3" s="17">
        <v>0</v>
      </c>
      <c r="H3" s="18">
        <v>0</v>
      </c>
      <c r="I3" s="26">
        <v>0</v>
      </c>
      <c r="J3" s="17">
        <v>0</v>
      </c>
      <c r="K3" s="18">
        <v>0</v>
      </c>
      <c r="L3" s="26">
        <v>0</v>
      </c>
      <c r="M3" s="17">
        <v>0</v>
      </c>
      <c r="N3" s="18">
        <v>0</v>
      </c>
      <c r="O3" s="26">
        <v>0</v>
      </c>
      <c r="P3" s="17">
        <v>0</v>
      </c>
      <c r="Q3" s="18">
        <v>0</v>
      </c>
      <c r="R3" s="26">
        <v>0</v>
      </c>
      <c r="S3" s="17">
        <v>0</v>
      </c>
      <c r="T3" s="18">
        <v>0</v>
      </c>
      <c r="U3" s="48">
        <f>SUM(C3,F3,I3,L3,O3,R3)-B3</f>
        <v>0</v>
      </c>
      <c r="V3" s="55">
        <v>0.33333333333333331</v>
      </c>
      <c r="W3" s="12">
        <f>SUM(D3,G3,J3,M3,P3,S3)</f>
        <v>0</v>
      </c>
      <c r="X3" s="12">
        <f>SUM(E3,H3,K3,N3,Q3,T3)</f>
        <v>333.33333333333331</v>
      </c>
    </row>
    <row r="4" spans="1:24" x14ac:dyDescent="0.2">
      <c r="A4" s="10">
        <v>1</v>
      </c>
      <c r="B4" s="15">
        <f>SUM(C3,F3,I3,L3,O3)</f>
        <v>1000</v>
      </c>
      <c r="C4" s="27">
        <f>(1-SUM(pHealthyStage1,pHealthyStage2,pHealthyStage3))*C3</f>
        <v>920</v>
      </c>
      <c r="D4" s="19">
        <f t="shared" ref="D4:D33" si="2">C4*0*V4/(1+discount_rate)^A4</f>
        <v>0</v>
      </c>
      <c r="E4" s="20">
        <f t="shared" si="1"/>
        <v>595.46925566343032</v>
      </c>
      <c r="F4" s="27">
        <f t="shared" ref="F4:F33" si="3">SUM(pHealthyStage1*C3,(1-SUM(pStage1Remission,pStage1Stage2))*F3,pStage2Stage1*I3,pRemissionStage1_trtC*O3)</f>
        <v>50</v>
      </c>
      <c r="G4" s="19">
        <f t="shared" ref="G4:G33" si="4">F4*SUM(nVisitsStage1*cVisit,cTreatmentStage1)*V4/(1+discount_rate)^A4</f>
        <v>51779.935275080898</v>
      </c>
      <c r="H4" s="20">
        <f t="shared" ref="H4:H33" si="5">F4*uStage1*V4/(1+discount_rate)^A4</f>
        <v>28.478964401294498</v>
      </c>
      <c r="I4" s="27">
        <f t="shared" ref="I4:I33" si="6">SUM(pHealthyStage2*C3,pStage1Stage2*F3,(1-SUM(pStage2Remission, pStage2Stage1, pStage2Stage3))*I3,pStage3Stage2*L3,pRemissionStage2_trtC*O3)</f>
        <v>20</v>
      </c>
      <c r="J4" s="19">
        <f t="shared" ref="J4:J33" si="7">I4*SUM(nVisitsStage2*cVisit,cTreatmentStage2)*V4/(1+discount_rate)^A4</f>
        <v>93203.883495145623</v>
      </c>
      <c r="K4" s="20">
        <f t="shared" ref="K4:K33" si="8">I4*uStage2*V4/(1+discount_rate)^A4</f>
        <v>9.1909385113268591</v>
      </c>
      <c r="L4" s="27">
        <f t="shared" ref="L4:L33" si="9">SUM(pHealthyStage3*C3,pStage2Stage3*I3,(1-SUM(pStage3Death, pStage3Stage2))*L3)</f>
        <v>10</v>
      </c>
      <c r="M4" s="19">
        <f t="shared" ref="M4:M33" si="10">L4*SUM(nVisitsStage3*cVisit,cTreatmentStage3)*V4/(1+discount_rate)^A4</f>
        <v>150161.81229773461</v>
      </c>
      <c r="N4" s="20">
        <f t="shared" ref="N4:N33" si="11">L4*uStage3*V4/(1+discount_rate)^A4</f>
        <v>2.3300970873786402</v>
      </c>
      <c r="O4" s="27">
        <f t="shared" ref="O4:O33" si="12">SUM(pStage1Remission*F3,pStage2Remission*I3,(1-SUM(pRemissionStage1_trtC, pRemissionStage2_trtC))*O3)</f>
        <v>0</v>
      </c>
      <c r="P4" s="19">
        <f t="shared" ref="P4:P33" si="13">O4*SUM(nVisitsRemission*cVisit, cTrtC)*V4/(1+discount_rate)^A4</f>
        <v>0</v>
      </c>
      <c r="Q4" s="20">
        <f t="shared" ref="Q4:Q33" si="14">O4*uRemission*V4/(1+discount_rate)^A4</f>
        <v>0</v>
      </c>
      <c r="R4" s="27">
        <f t="shared" ref="R4:R33" si="15">SUM(pStage3Death*L3,R3)</f>
        <v>0</v>
      </c>
      <c r="S4" s="19">
        <f t="shared" ref="S4:S33" si="16">R4*0*V4/(1+discount_rate)^A4</f>
        <v>0</v>
      </c>
      <c r="T4" s="23">
        <f t="shared" ref="T4:T33" si="17">R4*0*V4/(1+discount_rate)^A4</f>
        <v>0</v>
      </c>
      <c r="U4" s="49">
        <f t="shared" ref="U4:U33" si="18">SUM(C4,F4,I4,L4,O4,R4-R3)-B4</f>
        <v>0</v>
      </c>
      <c r="V4" s="54">
        <v>0.66666666666666663</v>
      </c>
      <c r="W4" s="13">
        <f>SUM(D4,G4,J4,M4,P4,S4)</f>
        <v>295145.63106796111</v>
      </c>
      <c r="X4" s="25">
        <f>SUM(E4,H4,K4,N4,Q4,T4)</f>
        <v>635.46925566343032</v>
      </c>
    </row>
    <row r="5" spans="1:24" x14ac:dyDescent="0.2">
      <c r="A5" s="10">
        <v>2</v>
      </c>
      <c r="B5" s="15">
        <f>SUM(C4,F4,I4,L4,O4)</f>
        <v>1000</v>
      </c>
      <c r="C5" s="27">
        <f>(1-SUM(pHealthyStage1,pHealthyStage2,pHealthyStage3))*C4</f>
        <v>846.40000000000009</v>
      </c>
      <c r="D5" s="19">
        <f t="shared" si="2"/>
        <v>0</v>
      </c>
      <c r="E5" s="20">
        <f t="shared" si="1"/>
        <v>1063.7509033210797</v>
      </c>
      <c r="F5" s="27">
        <f t="shared" si="3"/>
        <v>79.5</v>
      </c>
      <c r="G5" s="19">
        <f t="shared" si="4"/>
        <v>159864.26618908474</v>
      </c>
      <c r="H5" s="20">
        <f t="shared" si="5"/>
        <v>87.925346403996599</v>
      </c>
      <c r="I5" s="27">
        <f t="shared" si="6"/>
        <v>35.900000000000006</v>
      </c>
      <c r="J5" s="19">
        <f t="shared" si="7"/>
        <v>324856.25412385713</v>
      </c>
      <c r="K5" s="20">
        <f t="shared" si="8"/>
        <v>32.034436170547025</v>
      </c>
      <c r="L5" s="27">
        <f t="shared" si="9"/>
        <v>17.200000000000003</v>
      </c>
      <c r="M5" s="19">
        <f t="shared" si="10"/>
        <v>501511.29544097785</v>
      </c>
      <c r="N5" s="20">
        <f t="shared" si="11"/>
        <v>7.7820718258082762</v>
      </c>
      <c r="O5" s="27">
        <f t="shared" si="12"/>
        <v>16.5</v>
      </c>
      <c r="P5" s="19">
        <f t="shared" si="13"/>
        <v>261287.58601187673</v>
      </c>
      <c r="Q5" s="20">
        <f t="shared" si="14"/>
        <v>19.700254500895465</v>
      </c>
      <c r="R5" s="27">
        <f t="shared" si="15"/>
        <v>4.5</v>
      </c>
      <c r="S5" s="19">
        <f t="shared" si="16"/>
        <v>0</v>
      </c>
      <c r="T5" s="23">
        <f t="shared" si="17"/>
        <v>0</v>
      </c>
      <c r="U5" s="49">
        <f t="shared" si="18"/>
        <v>0</v>
      </c>
      <c r="V5" s="54">
        <v>1.3333333333333333</v>
      </c>
      <c r="W5" s="13">
        <f t="shared" ref="W5:X33" si="19">SUM(D5,G5,J5,M5,P5,S5)</f>
        <v>1247519.4017657966</v>
      </c>
      <c r="X5" s="25">
        <f t="shared" si="19"/>
        <v>1211.1930122223271</v>
      </c>
    </row>
    <row r="6" spans="1:24" x14ac:dyDescent="0.2">
      <c r="A6" s="10">
        <v>3</v>
      </c>
      <c r="B6" s="15">
        <f t="shared" ref="B6:B33" si="20">SUM(C5,F5,I5,L5,O5)</f>
        <v>995.50000000000011</v>
      </c>
      <c r="C6" s="27">
        <f t="shared" ref="C6:C33" si="21">(1-SUM(pHealthyStage1,pHealthyStage2,pHealthyStage3))*C5</f>
        <v>778.6880000000001</v>
      </c>
      <c r="D6" s="19">
        <f t="shared" si="2"/>
        <v>0</v>
      </c>
      <c r="E6" s="20">
        <f t="shared" si="1"/>
        <v>475.07321895892881</v>
      </c>
      <c r="F6" s="27">
        <f t="shared" si="3"/>
        <v>96.615000000000009</v>
      </c>
      <c r="G6" s="19">
        <f t="shared" si="4"/>
        <v>94310.838846299215</v>
      </c>
      <c r="H6" s="20">
        <f t="shared" si="5"/>
        <v>51.870961365464574</v>
      </c>
      <c r="I6" s="27">
        <f t="shared" si="6"/>
        <v>47.608000000000004</v>
      </c>
      <c r="J6" s="19">
        <f t="shared" si="7"/>
        <v>209126.70776872907</v>
      </c>
      <c r="K6" s="20">
        <f t="shared" si="8"/>
        <v>20.622217016083006</v>
      </c>
      <c r="L6" s="27">
        <f t="shared" si="9"/>
        <v>22.449000000000002</v>
      </c>
      <c r="M6" s="19">
        <f t="shared" si="10"/>
        <v>317747.43371400179</v>
      </c>
      <c r="N6" s="20">
        <f t="shared" si="11"/>
        <v>4.9305636265965793</v>
      </c>
      <c r="O6" s="27">
        <f t="shared" si="12"/>
        <v>42.4</v>
      </c>
      <c r="P6" s="19">
        <f t="shared" si="13"/>
        <v>325936.85339522129</v>
      </c>
      <c r="Q6" s="20">
        <f t="shared" si="14"/>
        <v>24.574604025830173</v>
      </c>
      <c r="R6" s="27">
        <f t="shared" si="15"/>
        <v>12.240000000000002</v>
      </c>
      <c r="S6" s="19">
        <f t="shared" si="16"/>
        <v>0</v>
      </c>
      <c r="T6" s="23">
        <f t="shared" si="17"/>
        <v>0</v>
      </c>
      <c r="U6" s="49">
        <f t="shared" si="18"/>
        <v>0</v>
      </c>
      <c r="V6" s="54">
        <v>0.66666666666666663</v>
      </c>
      <c r="W6" s="13">
        <f t="shared" si="19"/>
        <v>947121.83372425137</v>
      </c>
      <c r="X6" s="25">
        <f t="shared" si="19"/>
        <v>577.07156499290318</v>
      </c>
    </row>
    <row r="7" spans="1:24" x14ac:dyDescent="0.2">
      <c r="A7" s="10">
        <v>4</v>
      </c>
      <c r="B7" s="15">
        <f t="shared" si="20"/>
        <v>987.76</v>
      </c>
      <c r="C7" s="27">
        <f t="shared" si="21"/>
        <v>716.39296000000013</v>
      </c>
      <c r="D7" s="19">
        <f t="shared" si="2"/>
        <v>0</v>
      </c>
      <c r="E7" s="20">
        <f t="shared" si="1"/>
        <v>848.67448823730979</v>
      </c>
      <c r="F7" s="27">
        <f t="shared" si="3"/>
        <v>106.23455000000003</v>
      </c>
      <c r="G7" s="19">
        <f t="shared" si="4"/>
        <v>201361.11299445693</v>
      </c>
      <c r="H7" s="20">
        <f t="shared" si="5"/>
        <v>110.7486121469513</v>
      </c>
      <c r="I7" s="27">
        <f t="shared" si="6"/>
        <v>55.770510000000002</v>
      </c>
      <c r="J7" s="19">
        <f t="shared" si="7"/>
        <v>475693.2075902631</v>
      </c>
      <c r="K7" s="20">
        <f t="shared" si="8"/>
        <v>46.908635748484286</v>
      </c>
      <c r="L7" s="27">
        <f t="shared" si="9"/>
        <v>26.15258</v>
      </c>
      <c r="M7" s="19">
        <f t="shared" si="10"/>
        <v>718774.004680307</v>
      </c>
      <c r="N7" s="20">
        <f t="shared" si="11"/>
        <v>11.153389727797867</v>
      </c>
      <c r="O7" s="27">
        <f t="shared" si="12"/>
        <v>73.107349999999997</v>
      </c>
      <c r="P7" s="19">
        <f t="shared" si="13"/>
        <v>1091242.8841849759</v>
      </c>
      <c r="Q7" s="20">
        <f t="shared" si="14"/>
        <v>82.276249204422783</v>
      </c>
      <c r="R7" s="27">
        <f t="shared" si="15"/>
        <v>22.34205</v>
      </c>
      <c r="S7" s="19">
        <f t="shared" si="16"/>
        <v>0</v>
      </c>
      <c r="T7" s="23">
        <f t="shared" si="17"/>
        <v>0</v>
      </c>
      <c r="U7" s="49">
        <f t="shared" si="18"/>
        <v>0</v>
      </c>
      <c r="V7" s="54">
        <v>1.3333333333333333</v>
      </c>
      <c r="W7" s="13">
        <f t="shared" si="19"/>
        <v>2487071.2094500028</v>
      </c>
      <c r="X7" s="25">
        <f t="shared" si="19"/>
        <v>1099.7613750649659</v>
      </c>
    </row>
    <row r="8" spans="1:24" x14ac:dyDescent="0.2">
      <c r="A8" s="10">
        <v>5</v>
      </c>
      <c r="B8" s="15">
        <f t="shared" si="20"/>
        <v>977.65795000000003</v>
      </c>
      <c r="C8" s="27">
        <f t="shared" si="21"/>
        <v>659.08152320000011</v>
      </c>
      <c r="D8" s="19">
        <f t="shared" si="2"/>
        <v>0</v>
      </c>
      <c r="E8" s="20">
        <f t="shared" si="1"/>
        <v>379.01967435841021</v>
      </c>
      <c r="F8" s="27">
        <f t="shared" si="3"/>
        <v>111.31599850000003</v>
      </c>
      <c r="G8" s="19">
        <f t="shared" si="4"/>
        <v>102423.63535850076</v>
      </c>
      <c r="H8" s="20">
        <f t="shared" si="5"/>
        <v>56.332999447175411</v>
      </c>
      <c r="I8" s="27">
        <f t="shared" si="6"/>
        <v>61.183396200000004</v>
      </c>
      <c r="J8" s="19">
        <f t="shared" si="7"/>
        <v>253331.20809876808</v>
      </c>
      <c r="K8" s="20">
        <f t="shared" si="8"/>
        <v>24.981271909739633</v>
      </c>
      <c r="L8" s="27">
        <f t="shared" si="9"/>
        <v>28.605796099999999</v>
      </c>
      <c r="M8" s="19">
        <f t="shared" si="10"/>
        <v>381649.4501358429</v>
      </c>
      <c r="N8" s="20">
        <f t="shared" si="11"/>
        <v>5.9221466400389424</v>
      </c>
      <c r="O8" s="27">
        <f t="shared" si="12"/>
        <v>105.70257500000001</v>
      </c>
      <c r="P8" s="19">
        <f t="shared" si="13"/>
        <v>765911.74570701784</v>
      </c>
      <c r="Q8" s="20">
        <f t="shared" si="14"/>
        <v>57.747314160449754</v>
      </c>
      <c r="R8" s="27">
        <f t="shared" si="15"/>
        <v>34.110711000000002</v>
      </c>
      <c r="S8" s="19">
        <f t="shared" si="16"/>
        <v>0</v>
      </c>
      <c r="T8" s="23">
        <f t="shared" si="17"/>
        <v>0</v>
      </c>
      <c r="U8" s="49">
        <f t="shared" si="18"/>
        <v>0</v>
      </c>
      <c r="V8" s="54">
        <v>0.66666666666666663</v>
      </c>
      <c r="W8" s="13">
        <f t="shared" si="19"/>
        <v>1503316.0393001295</v>
      </c>
      <c r="X8" s="25">
        <f t="shared" si="19"/>
        <v>524.00340651581394</v>
      </c>
    </row>
    <row r="9" spans="1:24" x14ac:dyDescent="0.2">
      <c r="A9" s="10">
        <v>6</v>
      </c>
      <c r="B9" s="15">
        <f t="shared" si="20"/>
        <v>965.8892890000003</v>
      </c>
      <c r="C9" s="27">
        <f t="shared" si="21"/>
        <v>606.35500134400013</v>
      </c>
      <c r="D9" s="19">
        <f t="shared" si="2"/>
        <v>0</v>
      </c>
      <c r="E9" s="20">
        <f t="shared" si="1"/>
        <v>677.08369011599495</v>
      </c>
      <c r="F9" s="27">
        <f t="shared" si="3"/>
        <v>113.65377374500002</v>
      </c>
      <c r="G9" s="19">
        <f t="shared" si="4"/>
        <v>203057.59194479694</v>
      </c>
      <c r="H9" s="20">
        <f t="shared" si="5"/>
        <v>111.68167556963834</v>
      </c>
      <c r="I9" s="27">
        <f t="shared" si="6"/>
        <v>64.567609339000015</v>
      </c>
      <c r="J9" s="19">
        <f t="shared" si="7"/>
        <v>519113.82060588483</v>
      </c>
      <c r="K9" s="20">
        <f t="shared" si="8"/>
        <v>51.190390643080313</v>
      </c>
      <c r="L9" s="27">
        <f t="shared" si="9"/>
        <v>30.071222712000001</v>
      </c>
      <c r="M9" s="19">
        <f t="shared" si="10"/>
        <v>779030.49857633119</v>
      </c>
      <c r="N9" s="20">
        <f t="shared" si="11"/>
        <v>12.088404288253415</v>
      </c>
      <c r="O9" s="27">
        <f t="shared" si="12"/>
        <v>138.36907361500002</v>
      </c>
      <c r="P9" s="19">
        <f t="shared" si="13"/>
        <v>1946816.2688429977</v>
      </c>
      <c r="Q9" s="20">
        <f t="shared" si="14"/>
        <v>146.78376630165457</v>
      </c>
      <c r="R9" s="27">
        <f t="shared" si="15"/>
        <v>46.983319245000004</v>
      </c>
      <c r="S9" s="19">
        <f t="shared" si="16"/>
        <v>0</v>
      </c>
      <c r="T9" s="23">
        <f t="shared" si="17"/>
        <v>0</v>
      </c>
      <c r="U9" s="49">
        <f t="shared" si="18"/>
        <v>0</v>
      </c>
      <c r="V9" s="54">
        <v>1.3333333333333333</v>
      </c>
      <c r="W9" s="13">
        <f t="shared" si="19"/>
        <v>3448018.1799700106</v>
      </c>
      <c r="X9" s="25">
        <f t="shared" si="19"/>
        <v>998.82792691862142</v>
      </c>
    </row>
    <row r="10" spans="1:24" x14ac:dyDescent="0.2">
      <c r="A10" s="10">
        <v>7</v>
      </c>
      <c r="B10" s="15">
        <f t="shared" si="20"/>
        <v>953.01668075500027</v>
      </c>
      <c r="C10" s="27">
        <f t="shared" si="21"/>
        <v>557.84660123648018</v>
      </c>
      <c r="D10" s="19">
        <f t="shared" si="2"/>
        <v>0</v>
      </c>
      <c r="E10" s="20">
        <f t="shared" si="1"/>
        <v>302.38689073141524</v>
      </c>
      <c r="F10" s="27">
        <f t="shared" si="3"/>
        <v>114.33953714915003</v>
      </c>
      <c r="G10" s="19">
        <f t="shared" si="4"/>
        <v>99166.40753802874</v>
      </c>
      <c r="H10" s="20">
        <f t="shared" si="5"/>
        <v>54.541524145915801</v>
      </c>
      <c r="I10" s="27">
        <f t="shared" si="6"/>
        <v>66.503985612680012</v>
      </c>
      <c r="J10" s="19">
        <f t="shared" si="7"/>
        <v>259554.36562641908</v>
      </c>
      <c r="K10" s="20">
        <f t="shared" si="8"/>
        <v>25.594944388160769</v>
      </c>
      <c r="L10" s="27">
        <f t="shared" si="9"/>
        <v>30.784302770290005</v>
      </c>
      <c r="M10" s="19">
        <f t="shared" si="10"/>
        <v>387137.70810093242</v>
      </c>
      <c r="N10" s="20">
        <f t="shared" si="11"/>
        <v>6.0073092636351566</v>
      </c>
      <c r="O10" s="27">
        <f t="shared" si="12"/>
        <v>170.01020376600002</v>
      </c>
      <c r="P10" s="19">
        <f t="shared" si="13"/>
        <v>1161164.3696006634</v>
      </c>
      <c r="Q10" s="20">
        <f t="shared" si="14"/>
        <v>87.548107231796038</v>
      </c>
      <c r="R10" s="27">
        <f t="shared" si="15"/>
        <v>60.515369465400006</v>
      </c>
      <c r="S10" s="19">
        <f t="shared" si="16"/>
        <v>0</v>
      </c>
      <c r="T10" s="23">
        <f t="shared" si="17"/>
        <v>0</v>
      </c>
      <c r="U10" s="49">
        <f t="shared" si="18"/>
        <v>0</v>
      </c>
      <c r="V10" s="54">
        <v>0.66666666666666663</v>
      </c>
      <c r="W10" s="13">
        <f t="shared" si="19"/>
        <v>1907022.8508660437</v>
      </c>
      <c r="X10" s="25">
        <f t="shared" si="19"/>
        <v>476.07877576092295</v>
      </c>
    </row>
    <row r="11" spans="1:24" x14ac:dyDescent="0.2">
      <c r="A11" s="10">
        <v>8</v>
      </c>
      <c r="B11" s="15">
        <f t="shared" si="20"/>
        <v>939.48463053460023</v>
      </c>
      <c r="C11" s="27">
        <f t="shared" si="21"/>
        <v>513.21887313756179</v>
      </c>
      <c r="D11" s="19">
        <f t="shared" si="2"/>
        <v>0</v>
      </c>
      <c r="E11" s="20">
        <f t="shared" si="1"/>
        <v>540.18629023864469</v>
      </c>
      <c r="F11" s="27">
        <f t="shared" si="3"/>
        <v>114.03873867770552</v>
      </c>
      <c r="G11" s="19">
        <f t="shared" si="4"/>
        <v>192049.56454761501</v>
      </c>
      <c r="H11" s="20">
        <f t="shared" si="5"/>
        <v>105.62726050118825</v>
      </c>
      <c r="I11" s="27">
        <f t="shared" si="6"/>
        <v>67.432696321087121</v>
      </c>
      <c r="J11" s="19">
        <f t="shared" si="7"/>
        <v>511027.13443731394</v>
      </c>
      <c r="K11" s="20">
        <f t="shared" si="8"/>
        <v>50.392953534790678</v>
      </c>
      <c r="L11" s="27">
        <f t="shared" si="9"/>
        <v>30.946215239411806</v>
      </c>
      <c r="M11" s="19">
        <f t="shared" si="10"/>
        <v>755677.45518367086</v>
      </c>
      <c r="N11" s="20">
        <f t="shared" si="11"/>
        <v>11.726029476987994</v>
      </c>
      <c r="O11" s="27">
        <f t="shared" si="12"/>
        <v>199.99517091220352</v>
      </c>
      <c r="P11" s="19">
        <f t="shared" si="13"/>
        <v>2652350.9835696262</v>
      </c>
      <c r="Q11" s="20">
        <f t="shared" si="14"/>
        <v>199.97884399929725</v>
      </c>
      <c r="R11" s="27">
        <f t="shared" si="15"/>
        <v>74.368305712030505</v>
      </c>
      <c r="S11" s="19">
        <f t="shared" si="16"/>
        <v>0</v>
      </c>
      <c r="T11" s="23">
        <f t="shared" si="17"/>
        <v>0</v>
      </c>
      <c r="U11" s="49">
        <f t="shared" si="18"/>
        <v>0</v>
      </c>
      <c r="V11" s="54">
        <v>1.3333333333333333</v>
      </c>
      <c r="W11" s="13">
        <f t="shared" si="19"/>
        <v>4111105.137738226</v>
      </c>
      <c r="X11" s="25">
        <f t="shared" si="19"/>
        <v>907.91137775090885</v>
      </c>
    </row>
    <row r="12" spans="1:24" x14ac:dyDescent="0.2">
      <c r="A12" s="10">
        <v>9</v>
      </c>
      <c r="B12" s="15">
        <f t="shared" si="20"/>
        <v>925.63169428796971</v>
      </c>
      <c r="C12" s="27">
        <f t="shared" si="21"/>
        <v>472.16136328655688</v>
      </c>
      <c r="D12" s="19">
        <f t="shared" si="2"/>
        <v>0</v>
      </c>
      <c r="E12" s="20">
        <f t="shared" si="1"/>
        <v>241.2482461259967</v>
      </c>
      <c r="F12" s="27">
        <f t="shared" si="3"/>
        <v>113.15751715905121</v>
      </c>
      <c r="G12" s="19">
        <f t="shared" si="4"/>
        <v>92507.535510568443</v>
      </c>
      <c r="H12" s="20">
        <f t="shared" si="5"/>
        <v>50.879144530812646</v>
      </c>
      <c r="I12" s="27">
        <f t="shared" si="6"/>
        <v>67.675083303388732</v>
      </c>
      <c r="J12" s="19">
        <f t="shared" si="7"/>
        <v>248963.11779103646</v>
      </c>
      <c r="K12" s="20">
        <f t="shared" si="8"/>
        <v>24.550529671060541</v>
      </c>
      <c r="L12" s="27">
        <f t="shared" si="9"/>
        <v>30.720200799244591</v>
      </c>
      <c r="M12" s="19">
        <f t="shared" si="10"/>
        <v>364154.56079542206</v>
      </c>
      <c r="N12" s="20">
        <f t="shared" si="11"/>
        <v>5.650674219239308</v>
      </c>
      <c r="O12" s="27">
        <f t="shared" si="12"/>
        <v>227.99173288199307</v>
      </c>
      <c r="P12" s="19">
        <f t="shared" si="13"/>
        <v>1467788.1029009367</v>
      </c>
      <c r="Q12" s="20">
        <f t="shared" si="14"/>
        <v>110.6665633139595</v>
      </c>
      <c r="R12" s="27">
        <f t="shared" si="15"/>
        <v>88.294102569765812</v>
      </c>
      <c r="S12" s="19">
        <f t="shared" si="16"/>
        <v>0</v>
      </c>
      <c r="T12" s="23">
        <f t="shared" si="17"/>
        <v>0</v>
      </c>
      <c r="U12" s="49">
        <f t="shared" si="18"/>
        <v>0</v>
      </c>
      <c r="V12" s="54">
        <v>0.66666666666666663</v>
      </c>
      <c r="W12" s="13">
        <f t="shared" si="19"/>
        <v>2173413.3169979639</v>
      </c>
      <c r="X12" s="25">
        <f t="shared" si="19"/>
        <v>432.99515786106866</v>
      </c>
    </row>
    <row r="13" spans="1:24" x14ac:dyDescent="0.2">
      <c r="A13" s="10">
        <v>10</v>
      </c>
      <c r="B13" s="15">
        <f t="shared" si="20"/>
        <v>911.70589743023447</v>
      </c>
      <c r="C13" s="27">
        <f t="shared" si="21"/>
        <v>434.38845422363232</v>
      </c>
      <c r="D13" s="19">
        <f t="shared" si="2"/>
        <v>0</v>
      </c>
      <c r="E13" s="20">
        <f t="shared" si="1"/>
        <v>430.96774065226595</v>
      </c>
      <c r="F13" s="27">
        <f t="shared" si="3"/>
        <v>111.94379512698023</v>
      </c>
      <c r="G13" s="19">
        <f t="shared" si="4"/>
        <v>177699.6197641209</v>
      </c>
      <c r="H13" s="20">
        <f t="shared" si="5"/>
        <v>97.734790870266494</v>
      </c>
      <c r="I13" s="27">
        <f t="shared" si="6"/>
        <v>67.459873661271587</v>
      </c>
      <c r="J13" s="19">
        <f t="shared" si="7"/>
        <v>481886.22231411887</v>
      </c>
      <c r="K13" s="20">
        <f t="shared" si="8"/>
        <v>47.519335811531164</v>
      </c>
      <c r="L13" s="27">
        <f t="shared" si="9"/>
        <v>30.232976527996172</v>
      </c>
      <c r="M13" s="19">
        <f t="shared" si="10"/>
        <v>695881.64485037513</v>
      </c>
      <c r="N13" s="20">
        <f t="shared" si="11"/>
        <v>10.798163454574787</v>
      </c>
      <c r="O13" s="27">
        <f t="shared" si="12"/>
        <v>253.85670753069411</v>
      </c>
      <c r="P13" s="19">
        <f t="shared" si="13"/>
        <v>3173406.28633236</v>
      </c>
      <c r="Q13" s="20">
        <f t="shared" si="14"/>
        <v>239.26475968378907</v>
      </c>
      <c r="R13" s="27">
        <f t="shared" si="15"/>
        <v>102.11819292942587</v>
      </c>
      <c r="S13" s="19">
        <f t="shared" si="16"/>
        <v>0</v>
      </c>
      <c r="T13" s="23">
        <f t="shared" si="17"/>
        <v>0</v>
      </c>
      <c r="U13" s="49">
        <f t="shared" si="18"/>
        <v>0</v>
      </c>
      <c r="V13" s="54">
        <v>1.3333333333333333</v>
      </c>
      <c r="W13" s="13">
        <f t="shared" si="19"/>
        <v>4528873.7732609753</v>
      </c>
      <c r="X13" s="25">
        <f t="shared" si="19"/>
        <v>826.28479047242752</v>
      </c>
    </row>
    <row r="14" spans="1:24" x14ac:dyDescent="0.2">
      <c r="A14" s="10">
        <v>11</v>
      </c>
      <c r="B14" s="15">
        <f t="shared" si="20"/>
        <v>897.88180707057427</v>
      </c>
      <c r="C14" s="27">
        <f t="shared" si="21"/>
        <v>399.63737788574173</v>
      </c>
      <c r="D14" s="19">
        <f t="shared" si="2"/>
        <v>0</v>
      </c>
      <c r="E14" s="20">
        <f t="shared" si="1"/>
        <v>192.47102980586635</v>
      </c>
      <c r="F14" s="27">
        <f t="shared" si="3"/>
        <v>110.54871860331706</v>
      </c>
      <c r="G14" s="19">
        <f t="shared" si="4"/>
        <v>85186.929514416683</v>
      </c>
      <c r="H14" s="20">
        <f t="shared" si="5"/>
        <v>46.852811232929177</v>
      </c>
      <c r="I14" s="27">
        <f t="shared" si="6"/>
        <v>66.946855770947309</v>
      </c>
      <c r="J14" s="19">
        <f t="shared" si="7"/>
        <v>232146.39844954066</v>
      </c>
      <c r="K14" s="20">
        <f t="shared" si="8"/>
        <v>22.892214291551923</v>
      </c>
      <c r="L14" s="27">
        <f t="shared" si="9"/>
        <v>29.579353855425147</v>
      </c>
      <c r="M14" s="19">
        <f t="shared" si="10"/>
        <v>330503.40406553593</v>
      </c>
      <c r="N14" s="20">
        <f t="shared" si="11"/>
        <v>5.1285010975686616</v>
      </c>
      <c r="O14" s="27">
        <f t="shared" si="12"/>
        <v>277.56466151754489</v>
      </c>
      <c r="P14" s="19">
        <f t="shared" si="13"/>
        <v>1684356.3837425483</v>
      </c>
      <c r="Q14" s="20">
        <f t="shared" si="14"/>
        <v>126.99512417106516</v>
      </c>
      <c r="R14" s="27">
        <f t="shared" si="15"/>
        <v>115.72303236702415</v>
      </c>
      <c r="S14" s="19">
        <f t="shared" si="16"/>
        <v>0</v>
      </c>
      <c r="T14" s="23">
        <f t="shared" si="17"/>
        <v>0</v>
      </c>
      <c r="U14" s="49">
        <f t="shared" si="18"/>
        <v>0</v>
      </c>
      <c r="V14" s="54">
        <v>0.66666666666666663</v>
      </c>
      <c r="W14" s="13">
        <f t="shared" si="19"/>
        <v>2332193.1157720415</v>
      </c>
      <c r="X14" s="25">
        <f t="shared" si="19"/>
        <v>394.33968059898132</v>
      </c>
    </row>
    <row r="15" spans="1:24" x14ac:dyDescent="0.2">
      <c r="A15" s="10">
        <v>12</v>
      </c>
      <c r="B15" s="15">
        <f t="shared" si="20"/>
        <v>884.27696763297604</v>
      </c>
      <c r="C15" s="27">
        <f t="shared" si="21"/>
        <v>367.66638765488239</v>
      </c>
      <c r="D15" s="19">
        <f t="shared" si="2"/>
        <v>0</v>
      </c>
      <c r="E15" s="20">
        <f t="shared" si="1"/>
        <v>343.83174256581952</v>
      </c>
      <c r="F15" s="27">
        <f t="shared" si="3"/>
        <v>109.06411185086779</v>
      </c>
      <c r="G15" s="19">
        <f t="shared" si="4"/>
        <v>163190.13056707132</v>
      </c>
      <c r="H15" s="20">
        <f t="shared" si="5"/>
        <v>89.754571811889221</v>
      </c>
      <c r="I15" s="27">
        <f t="shared" si="6"/>
        <v>66.245993803737079</v>
      </c>
      <c r="J15" s="19">
        <f t="shared" si="7"/>
        <v>446050.62909436371</v>
      </c>
      <c r="K15" s="20">
        <f t="shared" si="8"/>
        <v>43.985548146805307</v>
      </c>
      <c r="L15" s="27">
        <f t="shared" si="9"/>
        <v>28.828079072212088</v>
      </c>
      <c r="M15" s="19">
        <f t="shared" si="10"/>
        <v>625454.51171198767</v>
      </c>
      <c r="N15" s="20">
        <f t="shared" si="11"/>
        <v>9.7053286300136019</v>
      </c>
      <c r="O15" s="27">
        <f t="shared" si="12"/>
        <v>299.16168601633547</v>
      </c>
      <c r="P15" s="19">
        <f t="shared" si="13"/>
        <v>3525076.5899406155</v>
      </c>
      <c r="Q15" s="20">
        <f t="shared" si="14"/>
        <v>265.77958416218928</v>
      </c>
      <c r="R15" s="27">
        <f t="shared" si="15"/>
        <v>129.03374160196546</v>
      </c>
      <c r="S15" s="19">
        <f t="shared" si="16"/>
        <v>0</v>
      </c>
      <c r="T15" s="23">
        <f t="shared" si="17"/>
        <v>0</v>
      </c>
      <c r="U15" s="49">
        <f t="shared" si="18"/>
        <v>0</v>
      </c>
      <c r="V15" s="54">
        <v>1.3333333333333333</v>
      </c>
      <c r="W15" s="13">
        <f t="shared" si="19"/>
        <v>4759771.8613140378</v>
      </c>
      <c r="X15" s="25">
        <f t="shared" si="19"/>
        <v>753.05677531671688</v>
      </c>
    </row>
    <row r="16" spans="1:24" x14ac:dyDescent="0.2">
      <c r="A16" s="10">
        <v>13</v>
      </c>
      <c r="B16" s="15">
        <f t="shared" si="20"/>
        <v>870.96625839803482</v>
      </c>
      <c r="C16" s="27">
        <f t="shared" si="21"/>
        <v>338.25307664249181</v>
      </c>
      <c r="D16" s="19">
        <f t="shared" si="2"/>
        <v>0</v>
      </c>
      <c r="E16" s="20">
        <f t="shared" si="1"/>
        <v>153.5559238643466</v>
      </c>
      <c r="F16" s="27">
        <f t="shared" si="3"/>
        <v>107.54537607681181</v>
      </c>
      <c r="G16" s="19">
        <f t="shared" si="4"/>
        <v>78115.3791462136</v>
      </c>
      <c r="H16" s="20">
        <f t="shared" si="5"/>
        <v>42.963458530417483</v>
      </c>
      <c r="I16" s="27">
        <f t="shared" si="6"/>
        <v>65.431972894363994</v>
      </c>
      <c r="J16" s="19">
        <f t="shared" si="7"/>
        <v>213868.75017990937</v>
      </c>
      <c r="K16" s="20">
        <f t="shared" si="8"/>
        <v>21.089835087185509</v>
      </c>
      <c r="L16" s="27">
        <f t="shared" si="9"/>
        <v>28.027602483215432</v>
      </c>
      <c r="M16" s="19">
        <f t="shared" si="10"/>
        <v>295188.03763440443</v>
      </c>
      <c r="N16" s="20">
        <f t="shared" si="11"/>
        <v>4.5805040322580002</v>
      </c>
      <c r="O16" s="27">
        <f t="shared" si="12"/>
        <v>318.73559471865633</v>
      </c>
      <c r="P16" s="19">
        <f t="shared" si="13"/>
        <v>1823164.8147484083</v>
      </c>
      <c r="Q16" s="20">
        <f t="shared" si="14"/>
        <v>137.46083920722128</v>
      </c>
      <c r="R16" s="27">
        <f t="shared" si="15"/>
        <v>142.00637718446089</v>
      </c>
      <c r="S16" s="19">
        <f t="shared" si="16"/>
        <v>0</v>
      </c>
      <c r="T16" s="23">
        <f t="shared" si="17"/>
        <v>0</v>
      </c>
      <c r="U16" s="49">
        <f t="shared" si="18"/>
        <v>0</v>
      </c>
      <c r="V16" s="54">
        <v>0.66666666666666663</v>
      </c>
      <c r="W16" s="13">
        <f t="shared" si="19"/>
        <v>2410336.9817089355</v>
      </c>
      <c r="X16" s="25">
        <f t="shared" si="19"/>
        <v>359.65056072142886</v>
      </c>
    </row>
    <row r="17" spans="1:24" x14ac:dyDescent="0.2">
      <c r="A17" s="10">
        <v>14</v>
      </c>
      <c r="B17" s="15">
        <f t="shared" si="20"/>
        <v>857.99362281553931</v>
      </c>
      <c r="C17" s="27">
        <f t="shared" si="21"/>
        <v>311.1928305110925</v>
      </c>
      <c r="D17" s="19">
        <f t="shared" si="2"/>
        <v>0</v>
      </c>
      <c r="E17" s="20">
        <f t="shared" si="1"/>
        <v>274.31349505863858</v>
      </c>
      <c r="F17" s="27">
        <f t="shared" si="3"/>
        <v>106.02552666270329</v>
      </c>
      <c r="G17" s="19">
        <f t="shared" si="4"/>
        <v>149536.7755690878</v>
      </c>
      <c r="H17" s="20">
        <f t="shared" si="5"/>
        <v>82.245226562998297</v>
      </c>
      <c r="I17" s="27">
        <f t="shared" si="6"/>
        <v>64.554874895683312</v>
      </c>
      <c r="J17" s="19">
        <f t="shared" si="7"/>
        <v>409712.42156092438</v>
      </c>
      <c r="K17" s="20">
        <f t="shared" si="8"/>
        <v>40.402197126146703</v>
      </c>
      <c r="L17" s="27">
        <f t="shared" si="9"/>
        <v>27.211127942187233</v>
      </c>
      <c r="M17" s="19">
        <f t="shared" si="10"/>
        <v>556483.27975537896</v>
      </c>
      <c r="N17" s="20">
        <f t="shared" si="11"/>
        <v>8.6350853755144996</v>
      </c>
      <c r="O17" s="27">
        <f t="shared" si="12"/>
        <v>336.39684168642611</v>
      </c>
      <c r="P17" s="19">
        <f t="shared" si="13"/>
        <v>3736285.4232487297</v>
      </c>
      <c r="Q17" s="20">
        <f t="shared" si="14"/>
        <v>281.70405968938837</v>
      </c>
      <c r="R17" s="27">
        <f t="shared" si="15"/>
        <v>154.61879830190784</v>
      </c>
      <c r="S17" s="19">
        <f t="shared" si="16"/>
        <v>0</v>
      </c>
      <c r="T17" s="23">
        <f t="shared" si="17"/>
        <v>0</v>
      </c>
      <c r="U17" s="49">
        <f t="shared" si="18"/>
        <v>0</v>
      </c>
      <c r="V17" s="54">
        <v>1.3333333333333333</v>
      </c>
      <c r="W17" s="13">
        <f t="shared" si="19"/>
        <v>4852017.9001341211</v>
      </c>
      <c r="X17" s="25">
        <f t="shared" si="19"/>
        <v>687.3000638126864</v>
      </c>
    </row>
    <row r="18" spans="1:24" x14ac:dyDescent="0.2">
      <c r="A18" s="10">
        <v>15</v>
      </c>
      <c r="B18" s="15">
        <f t="shared" si="20"/>
        <v>845.38120169809247</v>
      </c>
      <c r="C18" s="27">
        <f t="shared" si="21"/>
        <v>286.29740407020512</v>
      </c>
      <c r="D18" s="19">
        <f t="shared" si="2"/>
        <v>0</v>
      </c>
      <c r="E18" s="20">
        <f t="shared" si="1"/>
        <v>122.5089395407512</v>
      </c>
      <c r="F18" s="27">
        <f t="shared" si="3"/>
        <v>104.52381968541724</v>
      </c>
      <c r="G18" s="19">
        <f t="shared" si="4"/>
        <v>71562.519949466965</v>
      </c>
      <c r="H18" s="20">
        <f t="shared" si="5"/>
        <v>39.35938597220683</v>
      </c>
      <c r="I18" s="27">
        <f t="shared" si="6"/>
        <v>63.647827444740045</v>
      </c>
      <c r="J18" s="19">
        <f t="shared" si="7"/>
        <v>196094.96866200527</v>
      </c>
      <c r="K18" s="20">
        <f t="shared" si="8"/>
        <v>19.337142743058855</v>
      </c>
      <c r="L18" s="27">
        <f t="shared" si="9"/>
        <v>26.400723510557036</v>
      </c>
      <c r="M18" s="19">
        <f t="shared" si="10"/>
        <v>262092.25298660531</v>
      </c>
      <c r="N18" s="20">
        <f t="shared" si="11"/>
        <v>4.0669487532404274</v>
      </c>
      <c r="O18" s="27">
        <f t="shared" si="12"/>
        <v>352.26641941318871</v>
      </c>
      <c r="P18" s="19">
        <f t="shared" si="13"/>
        <v>1899293.843722953</v>
      </c>
      <c r="Q18" s="20">
        <f t="shared" si="14"/>
        <v>143.20072631244486</v>
      </c>
      <c r="R18" s="27">
        <f t="shared" si="15"/>
        <v>166.8638058758921</v>
      </c>
      <c r="S18" s="19">
        <f t="shared" si="16"/>
        <v>0</v>
      </c>
      <c r="T18" s="23">
        <f t="shared" si="17"/>
        <v>0</v>
      </c>
      <c r="U18" s="49">
        <f t="shared" si="18"/>
        <v>0</v>
      </c>
      <c r="V18" s="54">
        <v>0.66666666666666663</v>
      </c>
      <c r="W18" s="13">
        <f t="shared" si="19"/>
        <v>2429043.5853210306</v>
      </c>
      <c r="X18" s="25">
        <f t="shared" si="19"/>
        <v>328.4731433217022</v>
      </c>
    </row>
    <row r="19" spans="1:24" x14ac:dyDescent="0.2">
      <c r="A19" s="10">
        <v>16</v>
      </c>
      <c r="B19" s="15">
        <f t="shared" si="20"/>
        <v>833.13619412410821</v>
      </c>
      <c r="C19" s="27">
        <f t="shared" si="21"/>
        <v>263.39361174458872</v>
      </c>
      <c r="D19" s="19">
        <f t="shared" si="2"/>
        <v>0</v>
      </c>
      <c r="E19" s="20">
        <f t="shared" si="1"/>
        <v>218.850921121342</v>
      </c>
      <c r="F19" s="27">
        <f t="shared" si="3"/>
        <v>103.05106534192791</v>
      </c>
      <c r="G19" s="19">
        <f t="shared" si="4"/>
        <v>136998.43620800262</v>
      </c>
      <c r="H19" s="20">
        <f t="shared" si="5"/>
        <v>75.349139914401448</v>
      </c>
      <c r="I19" s="27">
        <f t="shared" si="6"/>
        <v>62.732391080581486</v>
      </c>
      <c r="J19" s="19">
        <f t="shared" si="7"/>
        <v>375290.42054059362</v>
      </c>
      <c r="K19" s="20">
        <f t="shared" si="8"/>
        <v>37.00780535886409</v>
      </c>
      <c r="L19" s="27">
        <f t="shared" si="9"/>
        <v>25.610509912691576</v>
      </c>
      <c r="M19" s="19">
        <f t="shared" si="10"/>
        <v>493684.34042730008</v>
      </c>
      <c r="N19" s="20">
        <f t="shared" si="11"/>
        <v>7.6606190755960348</v>
      </c>
      <c r="O19" s="27">
        <f t="shared" si="12"/>
        <v>366.46829046456781</v>
      </c>
      <c r="P19" s="19">
        <f t="shared" si="13"/>
        <v>3836631.504552546</v>
      </c>
      <c r="Q19" s="20">
        <f t="shared" si="14"/>
        <v>289.26983566070788</v>
      </c>
      <c r="R19" s="27">
        <f t="shared" si="15"/>
        <v>178.74413145564276</v>
      </c>
      <c r="S19" s="19">
        <f t="shared" si="16"/>
        <v>0</v>
      </c>
      <c r="T19" s="23">
        <f t="shared" si="17"/>
        <v>0</v>
      </c>
      <c r="U19" s="49">
        <f t="shared" si="18"/>
        <v>0</v>
      </c>
      <c r="V19" s="54">
        <v>1.3333333333333333</v>
      </c>
      <c r="W19" s="13">
        <f t="shared" si="19"/>
        <v>4842604.7017284427</v>
      </c>
      <c r="X19" s="25">
        <f t="shared" si="19"/>
        <v>628.13832113091144</v>
      </c>
    </row>
    <row r="20" spans="1:24" x14ac:dyDescent="0.2">
      <c r="A20" s="10">
        <v>17</v>
      </c>
      <c r="B20" s="15">
        <f t="shared" si="20"/>
        <v>821.25586854435755</v>
      </c>
      <c r="C20" s="27">
        <f t="shared" si="21"/>
        <v>242.32212280502165</v>
      </c>
      <c r="D20" s="19">
        <f t="shared" si="2"/>
        <v>0</v>
      </c>
      <c r="E20" s="20">
        <f t="shared" si="1"/>
        <v>97.739246326036238</v>
      </c>
      <c r="F20" s="27">
        <f t="shared" si="3"/>
        <v>101.61290713674003</v>
      </c>
      <c r="G20" s="19">
        <f t="shared" si="4"/>
        <v>65575.97858968025</v>
      </c>
      <c r="H20" s="20">
        <f t="shared" si="5"/>
        <v>36.066788224324142</v>
      </c>
      <c r="I20" s="27">
        <f t="shared" si="6"/>
        <v>61.822304722359391</v>
      </c>
      <c r="J20" s="19">
        <f t="shared" si="7"/>
        <v>179536.85316986058</v>
      </c>
      <c r="K20" s="20">
        <f t="shared" si="8"/>
        <v>17.704328576472363</v>
      </c>
      <c r="L20" s="27">
        <f t="shared" si="9"/>
        <v>24.8490497358789</v>
      </c>
      <c r="M20" s="19">
        <f t="shared" si="10"/>
        <v>232527.16205910433</v>
      </c>
      <c r="N20" s="20">
        <f t="shared" si="11"/>
        <v>3.6081801009171368</v>
      </c>
      <c r="O20" s="27">
        <f t="shared" si="12"/>
        <v>379.1247546836463</v>
      </c>
      <c r="P20" s="19">
        <f t="shared" si="13"/>
        <v>1926764.3775279522</v>
      </c>
      <c r="Q20" s="20">
        <f t="shared" si="14"/>
        <v>145.27191735329797</v>
      </c>
      <c r="R20" s="27">
        <f t="shared" si="15"/>
        <v>190.26886091635396</v>
      </c>
      <c r="S20" s="19">
        <f t="shared" si="16"/>
        <v>0</v>
      </c>
      <c r="T20" s="23">
        <f t="shared" si="17"/>
        <v>0</v>
      </c>
      <c r="U20" s="49">
        <f t="shared" si="18"/>
        <v>0</v>
      </c>
      <c r="V20" s="54">
        <v>0.66666666666666663</v>
      </c>
      <c r="W20" s="13">
        <f t="shared" si="19"/>
        <v>2404404.3713465976</v>
      </c>
      <c r="X20" s="25">
        <f t="shared" si="19"/>
        <v>300.39046058104782</v>
      </c>
    </row>
    <row r="21" spans="1:24" x14ac:dyDescent="0.2">
      <c r="A21" s="10">
        <v>18</v>
      </c>
      <c r="B21" s="15">
        <f t="shared" si="20"/>
        <v>809.73113908364621</v>
      </c>
      <c r="C21" s="27">
        <f t="shared" si="21"/>
        <v>222.93635298061992</v>
      </c>
      <c r="D21" s="19">
        <f t="shared" si="2"/>
        <v>0</v>
      </c>
      <c r="E21" s="20">
        <f t="shared" si="1"/>
        <v>174.60214877660846</v>
      </c>
      <c r="F21" s="27">
        <f t="shared" si="3"/>
        <v>100.21184874943239</v>
      </c>
      <c r="G21" s="19">
        <f t="shared" si="4"/>
        <v>125576.31909264025</v>
      </c>
      <c r="H21" s="20">
        <f t="shared" si="5"/>
        <v>69.066975500952125</v>
      </c>
      <c r="I21" s="27">
        <f t="shared" si="6"/>
        <v>60.926063583656941</v>
      </c>
      <c r="J21" s="19">
        <f t="shared" si="7"/>
        <v>343561.3556383379</v>
      </c>
      <c r="K21" s="20">
        <f t="shared" si="8"/>
        <v>33.878967014336091</v>
      </c>
      <c r="L21" s="27">
        <f t="shared" si="9"/>
        <v>24.121091804343575</v>
      </c>
      <c r="M21" s="19">
        <f t="shared" si="10"/>
        <v>438282.00364263792</v>
      </c>
      <c r="N21" s="20">
        <f t="shared" si="11"/>
        <v>6.8009276427305885</v>
      </c>
      <c r="O21" s="27">
        <f t="shared" si="12"/>
        <v>390.35370958444793</v>
      </c>
      <c r="P21" s="19">
        <f t="shared" si="13"/>
        <v>3852099.9564250088</v>
      </c>
      <c r="Q21" s="20">
        <f t="shared" si="14"/>
        <v>290.4361078256951</v>
      </c>
      <c r="R21" s="27">
        <f t="shared" si="15"/>
        <v>201.45093329749946</v>
      </c>
      <c r="S21" s="19">
        <f t="shared" si="16"/>
        <v>0</v>
      </c>
      <c r="T21" s="23">
        <f t="shared" si="17"/>
        <v>0</v>
      </c>
      <c r="U21" s="49">
        <f t="shared" si="18"/>
        <v>0</v>
      </c>
      <c r="V21" s="54">
        <v>1.3333333333333333</v>
      </c>
      <c r="W21" s="13">
        <f t="shared" si="19"/>
        <v>4759519.6347986246</v>
      </c>
      <c r="X21" s="25">
        <f t="shared" si="19"/>
        <v>574.78512676032233</v>
      </c>
    </row>
    <row r="22" spans="1:24" x14ac:dyDescent="0.2">
      <c r="A22" s="10">
        <v>19</v>
      </c>
      <c r="B22" s="15">
        <f t="shared" si="20"/>
        <v>798.5490667025008</v>
      </c>
      <c r="C22" s="27">
        <f t="shared" si="21"/>
        <v>205.10144474217034</v>
      </c>
      <c r="D22" s="19">
        <f t="shared" si="2"/>
        <v>0</v>
      </c>
      <c r="E22" s="20">
        <f t="shared" si="1"/>
        <v>77.977658676931924</v>
      </c>
      <c r="F22" s="27">
        <f t="shared" si="3"/>
        <v>98.848507994567285</v>
      </c>
      <c r="G22" s="19">
        <f t="shared" si="4"/>
        <v>60130.051072542483</v>
      </c>
      <c r="H22" s="20">
        <f t="shared" si="5"/>
        <v>33.071528089898365</v>
      </c>
      <c r="I22" s="27">
        <f t="shared" si="6"/>
        <v>60.048678866655941</v>
      </c>
      <c r="J22" s="19">
        <f t="shared" si="7"/>
        <v>164375.62793361803</v>
      </c>
      <c r="K22" s="20">
        <f t="shared" si="8"/>
        <v>16.209263310120669</v>
      </c>
      <c r="L22" s="27">
        <f t="shared" si="9"/>
        <v>23.428818969526525</v>
      </c>
      <c r="M22" s="19">
        <f t="shared" si="10"/>
        <v>206652.11435081976</v>
      </c>
      <c r="N22" s="20">
        <f t="shared" si="11"/>
        <v>3.2066707399265137</v>
      </c>
      <c r="O22" s="27">
        <f t="shared" si="12"/>
        <v>400.26712481762604</v>
      </c>
      <c r="P22" s="19">
        <f t="shared" si="13"/>
        <v>1917440.685515685</v>
      </c>
      <c r="Q22" s="20">
        <f t="shared" si="14"/>
        <v>144.5689405745953</v>
      </c>
      <c r="R22" s="27">
        <f t="shared" si="15"/>
        <v>212.30542460945406</v>
      </c>
      <c r="S22" s="19">
        <f t="shared" si="16"/>
        <v>0</v>
      </c>
      <c r="T22" s="23">
        <f t="shared" si="17"/>
        <v>0</v>
      </c>
      <c r="U22" s="49">
        <f t="shared" si="18"/>
        <v>0</v>
      </c>
      <c r="V22" s="54">
        <v>0.66666666666666663</v>
      </c>
      <c r="W22" s="13">
        <f t="shared" si="19"/>
        <v>2348598.4788726652</v>
      </c>
      <c r="X22" s="25">
        <f t="shared" si="19"/>
        <v>275.03406139147279</v>
      </c>
    </row>
    <row r="23" spans="1:24" x14ac:dyDescent="0.2">
      <c r="A23" s="10">
        <v>20</v>
      </c>
      <c r="B23" s="15">
        <f t="shared" si="20"/>
        <v>787.69457539054611</v>
      </c>
      <c r="C23" s="27">
        <f t="shared" si="21"/>
        <v>188.69332916279672</v>
      </c>
      <c r="D23" s="19">
        <f t="shared" si="2"/>
        <v>0</v>
      </c>
      <c r="E23" s="20">
        <f t="shared" si="1"/>
        <v>139.29989511218909</v>
      </c>
      <c r="F23" s="27">
        <f t="shared" si="3"/>
        <v>97.522392617791368</v>
      </c>
      <c r="G23" s="19">
        <f t="shared" si="4"/>
        <v>115191.00646978454</v>
      </c>
      <c r="H23" s="20">
        <f t="shared" si="5"/>
        <v>63.355053558381499</v>
      </c>
      <c r="I23" s="27">
        <f t="shared" si="6"/>
        <v>59.192870459122538</v>
      </c>
      <c r="J23" s="19">
        <f t="shared" si="7"/>
        <v>314627.10906152346</v>
      </c>
      <c r="K23" s="20">
        <f t="shared" si="8"/>
        <v>31.025728810233566</v>
      </c>
      <c r="L23" s="27">
        <f t="shared" si="9"/>
        <v>22.772725762183356</v>
      </c>
      <c r="M23" s="19">
        <f t="shared" si="10"/>
        <v>390029.30904150184</v>
      </c>
      <c r="N23" s="20">
        <f t="shared" si="11"/>
        <v>6.0521789334026144</v>
      </c>
      <c r="O23" s="27">
        <f t="shared" si="12"/>
        <v>408.97028885236523</v>
      </c>
      <c r="P23" s="19">
        <f t="shared" si="13"/>
        <v>3804140.476418294</v>
      </c>
      <c r="Q23" s="20">
        <f t="shared" si="14"/>
        <v>286.82011528550635</v>
      </c>
      <c r="R23" s="27">
        <f t="shared" si="15"/>
        <v>222.848393145741</v>
      </c>
      <c r="S23" s="19">
        <f t="shared" si="16"/>
        <v>0</v>
      </c>
      <c r="T23" s="23">
        <f t="shared" si="17"/>
        <v>0</v>
      </c>
      <c r="U23" s="49">
        <f t="shared" si="18"/>
        <v>0</v>
      </c>
      <c r="V23" s="54">
        <v>1.3333333333333333</v>
      </c>
      <c r="W23" s="13">
        <f t="shared" si="19"/>
        <v>4623987.9009911036</v>
      </c>
      <c r="X23" s="25">
        <f t="shared" si="19"/>
        <v>526.55297169971311</v>
      </c>
    </row>
    <row r="24" spans="1:24" x14ac:dyDescent="0.2">
      <c r="A24" s="10">
        <v>21</v>
      </c>
      <c r="B24" s="15">
        <f t="shared" si="20"/>
        <v>777.15160685425917</v>
      </c>
      <c r="C24" s="27">
        <f t="shared" si="21"/>
        <v>173.59786282977299</v>
      </c>
      <c r="D24" s="19">
        <f t="shared" si="2"/>
        <v>0</v>
      </c>
      <c r="E24" s="20">
        <f t="shared" si="1"/>
        <v>62.21160364233689</v>
      </c>
      <c r="F24" s="27">
        <f t="shared" si="3"/>
        <v>96.232379625278611</v>
      </c>
      <c r="G24" s="19">
        <f t="shared" si="4"/>
        <v>55178.289052346234</v>
      </c>
      <c r="H24" s="20">
        <f t="shared" si="5"/>
        <v>30.34805897879043</v>
      </c>
      <c r="I24" s="27">
        <f t="shared" si="6"/>
        <v>58.359870185665073</v>
      </c>
      <c r="J24" s="19">
        <f t="shared" si="7"/>
        <v>150582.26861016566</v>
      </c>
      <c r="K24" s="20">
        <f t="shared" si="8"/>
        <v>14.849084821280224</v>
      </c>
      <c r="L24" s="27">
        <f t="shared" si="9"/>
        <v>22.152226741588024</v>
      </c>
      <c r="M24" s="19">
        <f t="shared" si="10"/>
        <v>184175.72794491026</v>
      </c>
      <c r="N24" s="20">
        <f t="shared" si="11"/>
        <v>2.8578992267313663</v>
      </c>
      <c r="O24" s="27">
        <f t="shared" si="12"/>
        <v>416.56154087897198</v>
      </c>
      <c r="P24" s="19">
        <f t="shared" si="13"/>
        <v>1880947.779236862</v>
      </c>
      <c r="Q24" s="20">
        <f t="shared" si="14"/>
        <v>141.81749129166815</v>
      </c>
      <c r="R24" s="27">
        <f t="shared" si="15"/>
        <v>233.0961197387235</v>
      </c>
      <c r="S24" s="19">
        <f t="shared" si="16"/>
        <v>0</v>
      </c>
      <c r="T24" s="23">
        <f t="shared" si="17"/>
        <v>0</v>
      </c>
      <c r="U24" s="49">
        <f t="shared" si="18"/>
        <v>0</v>
      </c>
      <c r="V24" s="54">
        <v>0.66666666666666663</v>
      </c>
      <c r="W24" s="13">
        <f t="shared" si="19"/>
        <v>2270884.0648442842</v>
      </c>
      <c r="X24" s="25">
        <f t="shared" si="19"/>
        <v>252.08413796080706</v>
      </c>
    </row>
    <row r="25" spans="1:24" x14ac:dyDescent="0.2">
      <c r="A25" s="10">
        <v>22</v>
      </c>
      <c r="B25" s="15">
        <f t="shared" si="20"/>
        <v>766.90388026127664</v>
      </c>
      <c r="C25" s="27">
        <f t="shared" si="21"/>
        <v>159.71003380339116</v>
      </c>
      <c r="D25" s="19">
        <f t="shared" si="2"/>
        <v>0</v>
      </c>
      <c r="E25" s="20">
        <f t="shared" si="1"/>
        <v>111.13529194359209</v>
      </c>
      <c r="F25" s="27">
        <f t="shared" si="3"/>
        <v>94.9770104511516</v>
      </c>
      <c r="G25" s="19">
        <f t="shared" si="4"/>
        <v>105744.617622833</v>
      </c>
      <c r="H25" s="20">
        <f t="shared" si="5"/>
        <v>58.159539692558148</v>
      </c>
      <c r="I25" s="27">
        <f t="shared" si="6"/>
        <v>57.549959485181205</v>
      </c>
      <c r="J25" s="19">
        <f t="shared" si="7"/>
        <v>288334.96590156178</v>
      </c>
      <c r="K25" s="20">
        <f t="shared" si="8"/>
        <v>28.433031359737349</v>
      </c>
      <c r="L25" s="27">
        <f t="shared" si="9"/>
        <v>21.566072526941504</v>
      </c>
      <c r="M25" s="19">
        <f t="shared" si="10"/>
        <v>348159.97251596896</v>
      </c>
      <c r="N25" s="20">
        <f t="shared" si="11"/>
        <v>5.4024823321443458</v>
      </c>
      <c r="O25" s="27">
        <f t="shared" si="12"/>
        <v>423.1323019608966</v>
      </c>
      <c r="P25" s="19">
        <f t="shared" si="13"/>
        <v>3709936.8646129048</v>
      </c>
      <c r="Q25" s="20">
        <f t="shared" si="14"/>
        <v>279.71746201446501</v>
      </c>
      <c r="R25" s="27">
        <f t="shared" si="15"/>
        <v>243.0646217724381</v>
      </c>
      <c r="S25" s="19">
        <f t="shared" si="16"/>
        <v>0</v>
      </c>
      <c r="T25" s="23">
        <f t="shared" si="17"/>
        <v>0</v>
      </c>
      <c r="U25" s="49">
        <f t="shared" si="18"/>
        <v>0</v>
      </c>
      <c r="V25" s="54">
        <v>1.3333333333333333</v>
      </c>
      <c r="W25" s="13">
        <f t="shared" si="19"/>
        <v>4452176.4206532687</v>
      </c>
      <c r="X25" s="25">
        <f t="shared" si="19"/>
        <v>482.84780734249694</v>
      </c>
    </row>
    <row r="26" spans="1:24" x14ac:dyDescent="0.2">
      <c r="A26" s="10">
        <v>23</v>
      </c>
      <c r="B26" s="15">
        <f t="shared" si="20"/>
        <v>756.93537822756207</v>
      </c>
      <c r="C26" s="27">
        <f t="shared" si="21"/>
        <v>146.93323109911987</v>
      </c>
      <c r="D26" s="19">
        <f t="shared" si="2"/>
        <v>0</v>
      </c>
      <c r="E26" s="20">
        <f t="shared" si="1"/>
        <v>49.633237178691623</v>
      </c>
      <c r="F26" s="27">
        <f t="shared" si="3"/>
        <v>93.754671555721984</v>
      </c>
      <c r="G26" s="19">
        <f t="shared" si="4"/>
        <v>50671.699684288564</v>
      </c>
      <c r="H26" s="20">
        <f t="shared" si="5"/>
        <v>27.869434826358713</v>
      </c>
      <c r="I26" s="27">
        <f t="shared" si="6"/>
        <v>56.762827077856706</v>
      </c>
      <c r="J26" s="19">
        <f t="shared" si="7"/>
        <v>138054.02926987983</v>
      </c>
      <c r="K26" s="20">
        <f t="shared" si="8"/>
        <v>13.613661219668703</v>
      </c>
      <c r="L26" s="27">
        <f t="shared" si="9"/>
        <v>21.012630524281846</v>
      </c>
      <c r="M26" s="19">
        <f t="shared" si="10"/>
        <v>164672.46319157901</v>
      </c>
      <c r="N26" s="20">
        <f t="shared" si="11"/>
        <v>2.5552623598693298</v>
      </c>
      <c r="O26" s="27">
        <f t="shared" si="12"/>
        <v>428.76728533345795</v>
      </c>
      <c r="P26" s="19">
        <f t="shared" si="13"/>
        <v>1824923.9019905338</v>
      </c>
      <c r="Q26" s="20">
        <f t="shared" si="14"/>
        <v>137.59346880087358</v>
      </c>
      <c r="R26" s="27">
        <f t="shared" si="15"/>
        <v>252.76935440956177</v>
      </c>
      <c r="S26" s="19">
        <f t="shared" si="16"/>
        <v>0</v>
      </c>
      <c r="T26" s="23">
        <f t="shared" si="17"/>
        <v>0</v>
      </c>
      <c r="U26" s="49">
        <f t="shared" si="18"/>
        <v>0</v>
      </c>
      <c r="V26" s="54">
        <v>0.66666666666666663</v>
      </c>
      <c r="W26" s="13">
        <f t="shared" si="19"/>
        <v>2178322.0941362809</v>
      </c>
      <c r="X26" s="25">
        <f t="shared" si="19"/>
        <v>231.26506438546193</v>
      </c>
    </row>
    <row r="27" spans="1:24" x14ac:dyDescent="0.2">
      <c r="A27" s="10">
        <v>24</v>
      </c>
      <c r="B27" s="15">
        <f t="shared" si="20"/>
        <v>747.23064559043837</v>
      </c>
      <c r="C27" s="27">
        <f t="shared" si="21"/>
        <v>135.17857261119028</v>
      </c>
      <c r="D27" s="19">
        <f t="shared" si="2"/>
        <v>0</v>
      </c>
      <c r="E27" s="20">
        <f t="shared" si="1"/>
        <v>88.665200396886007</v>
      </c>
      <c r="F27" s="27">
        <f t="shared" si="3"/>
        <v>92.563703686741007</v>
      </c>
      <c r="G27" s="19">
        <f t="shared" si="4"/>
        <v>97141.778355289018</v>
      </c>
      <c r="H27" s="20">
        <f t="shared" si="5"/>
        <v>53.427978095408953</v>
      </c>
      <c r="I27" s="27">
        <f t="shared" si="6"/>
        <v>55.997805257151875</v>
      </c>
      <c r="J27" s="19">
        <f t="shared" si="7"/>
        <v>264453.21184284426</v>
      </c>
      <c r="K27" s="20">
        <f t="shared" si="8"/>
        <v>26.078025056724918</v>
      </c>
      <c r="L27" s="27">
        <f t="shared" si="9"/>
        <v>20.490071634810626</v>
      </c>
      <c r="M27" s="19">
        <f t="shared" si="10"/>
        <v>311800.49857932923</v>
      </c>
      <c r="N27" s="20">
        <f t="shared" si="11"/>
        <v>4.8382835986447637</v>
      </c>
      <c r="O27" s="27">
        <f t="shared" si="12"/>
        <v>433.54480866461768</v>
      </c>
      <c r="P27" s="19">
        <f t="shared" si="13"/>
        <v>3583025.3356293165</v>
      </c>
      <c r="Q27" s="20">
        <f t="shared" si="14"/>
        <v>270.14873562284527</v>
      </c>
      <c r="R27" s="27">
        <f t="shared" si="15"/>
        <v>262.22503814548861</v>
      </c>
      <c r="S27" s="19">
        <f t="shared" si="16"/>
        <v>0</v>
      </c>
      <c r="T27" s="23">
        <f t="shared" si="17"/>
        <v>0</v>
      </c>
      <c r="U27" s="49">
        <f t="shared" si="18"/>
        <v>0</v>
      </c>
      <c r="V27" s="54">
        <v>1.3333333333333333</v>
      </c>
      <c r="W27" s="13">
        <f t="shared" si="19"/>
        <v>4256420.8244067794</v>
      </c>
      <c r="X27" s="25">
        <f t="shared" si="19"/>
        <v>443.15822277050989</v>
      </c>
    </row>
    <row r="28" spans="1:24" x14ac:dyDescent="0.2">
      <c r="A28" s="10">
        <v>25</v>
      </c>
      <c r="B28" s="15">
        <f t="shared" si="20"/>
        <v>737.7749618545115</v>
      </c>
      <c r="C28" s="27">
        <f t="shared" si="21"/>
        <v>124.36428680229506</v>
      </c>
      <c r="D28" s="19">
        <f t="shared" si="2"/>
        <v>0</v>
      </c>
      <c r="E28" s="20">
        <f t="shared" si="1"/>
        <v>39.598050662686958</v>
      </c>
      <c r="F28" s="27">
        <f t="shared" si="3"/>
        <v>91.402466723029647</v>
      </c>
      <c r="G28" s="19">
        <f t="shared" si="4"/>
        <v>46564.615627917308</v>
      </c>
      <c r="H28" s="20">
        <f t="shared" si="5"/>
        <v>25.610538595354523</v>
      </c>
      <c r="I28" s="27">
        <f t="shared" si="6"/>
        <v>55.254024730221921</v>
      </c>
      <c r="J28" s="19">
        <f t="shared" si="7"/>
        <v>126670.2236893222</v>
      </c>
      <c r="K28" s="20">
        <f t="shared" si="8"/>
        <v>12.491091502697051</v>
      </c>
      <c r="L28" s="27">
        <f t="shared" si="9"/>
        <v>19.996492332089996</v>
      </c>
      <c r="M28" s="19">
        <f t="shared" si="10"/>
        <v>147713.41173419912</v>
      </c>
      <c r="N28" s="20">
        <f t="shared" si="11"/>
        <v>2.292104664841021</v>
      </c>
      <c r="O28" s="27">
        <f t="shared" si="12"/>
        <v>437.53715903121002</v>
      </c>
      <c r="P28" s="19">
        <f t="shared" si="13"/>
        <v>1755349.5448627351</v>
      </c>
      <c r="Q28" s="20">
        <f t="shared" si="14"/>
        <v>132.34778314441257</v>
      </c>
      <c r="R28" s="27">
        <f t="shared" si="15"/>
        <v>271.4455703811534</v>
      </c>
      <c r="S28" s="19">
        <f t="shared" si="16"/>
        <v>0</v>
      </c>
      <c r="T28" s="23">
        <f t="shared" si="17"/>
        <v>0</v>
      </c>
      <c r="U28" s="49">
        <f t="shared" si="18"/>
        <v>0</v>
      </c>
      <c r="V28" s="54">
        <v>0.66666666666666663</v>
      </c>
      <c r="W28" s="13">
        <f t="shared" si="19"/>
        <v>2076297.7959141736</v>
      </c>
      <c r="X28" s="25">
        <f t="shared" si="19"/>
        <v>212.33956856999214</v>
      </c>
    </row>
    <row r="29" spans="1:24" x14ac:dyDescent="0.2">
      <c r="A29" s="10">
        <v>26</v>
      </c>
      <c r="B29" s="15">
        <f t="shared" si="20"/>
        <v>728.5544296188466</v>
      </c>
      <c r="C29" s="27">
        <f t="shared" si="21"/>
        <v>114.41514385811145</v>
      </c>
      <c r="D29" s="19">
        <f t="shared" si="2"/>
        <v>0</v>
      </c>
      <c r="E29" s="20">
        <f t="shared" si="1"/>
        <v>70.738265261499009</v>
      </c>
      <c r="F29" s="27">
        <f t="shared" si="3"/>
        <v>90.269376898155627</v>
      </c>
      <c r="G29" s="19">
        <f t="shared" si="4"/>
        <v>89295.859449245661</v>
      </c>
      <c r="H29" s="20">
        <f t="shared" si="5"/>
        <v>49.112722697085118</v>
      </c>
      <c r="I29" s="27">
        <f t="shared" si="6"/>
        <v>54.530515043710722</v>
      </c>
      <c r="J29" s="19">
        <f t="shared" si="7"/>
        <v>242740.91817863722</v>
      </c>
      <c r="K29" s="20">
        <f t="shared" si="8"/>
        <v>23.936951653726723</v>
      </c>
      <c r="L29" s="27">
        <f t="shared" si="9"/>
        <v>19.529992743601237</v>
      </c>
      <c r="M29" s="19">
        <f t="shared" si="10"/>
        <v>280130.86421491648</v>
      </c>
      <c r="N29" s="20">
        <f t="shared" si="11"/>
        <v>4.3468582378176697</v>
      </c>
      <c r="O29" s="27">
        <f t="shared" si="12"/>
        <v>440.81097952582707</v>
      </c>
      <c r="P29" s="19">
        <f t="shared" si="13"/>
        <v>3433949.0136525594</v>
      </c>
      <c r="Q29" s="20">
        <f t="shared" si="14"/>
        <v>258.90885420396279</v>
      </c>
      <c r="R29" s="27">
        <f t="shared" si="15"/>
        <v>280.44399193059388</v>
      </c>
      <c r="S29" s="19">
        <f t="shared" si="16"/>
        <v>0</v>
      </c>
      <c r="T29" s="23">
        <f t="shared" si="17"/>
        <v>0</v>
      </c>
      <c r="U29" s="49">
        <f t="shared" si="18"/>
        <v>0</v>
      </c>
      <c r="V29" s="54">
        <v>1.3333333333333333</v>
      </c>
      <c r="W29" s="13">
        <f t="shared" si="19"/>
        <v>4046116.6554953586</v>
      </c>
      <c r="X29" s="25">
        <f t="shared" si="19"/>
        <v>407.0436520540913</v>
      </c>
    </row>
    <row r="30" spans="1:24" x14ac:dyDescent="0.2">
      <c r="A30" s="10">
        <v>27</v>
      </c>
      <c r="B30" s="15">
        <f t="shared" si="20"/>
        <v>719.55600806940606</v>
      </c>
      <c r="C30" s="27">
        <f t="shared" si="21"/>
        <v>105.26193234946254</v>
      </c>
      <c r="D30" s="19">
        <f t="shared" si="2"/>
        <v>0</v>
      </c>
      <c r="E30" s="20">
        <f t="shared" si="1"/>
        <v>31.591846621640347</v>
      </c>
      <c r="F30" s="27">
        <f t="shared" si="3"/>
        <v>89.162926905183639</v>
      </c>
      <c r="G30" s="19">
        <f t="shared" si="4"/>
        <v>42816.185464252085</v>
      </c>
      <c r="H30" s="20">
        <f t="shared" si="5"/>
        <v>23.54890200533865</v>
      </c>
      <c r="I30" s="27">
        <f t="shared" si="6"/>
        <v>53.826268820900822</v>
      </c>
      <c r="J30" s="19">
        <f t="shared" si="7"/>
        <v>116313.5862521442</v>
      </c>
      <c r="K30" s="20">
        <f t="shared" si="8"/>
        <v>11.469811977641998</v>
      </c>
      <c r="L30" s="27">
        <f t="shared" si="9"/>
        <v>19.088725066938338</v>
      </c>
      <c r="M30" s="19">
        <f t="shared" si="10"/>
        <v>132913.34309116536</v>
      </c>
      <c r="N30" s="20">
        <f t="shared" si="11"/>
        <v>2.0624484272767036</v>
      </c>
      <c r="O30" s="27">
        <f t="shared" si="12"/>
        <v>443.42765819230016</v>
      </c>
      <c r="P30" s="19">
        <f t="shared" si="13"/>
        <v>1676860.7414320901</v>
      </c>
      <c r="Q30" s="20">
        <f t="shared" si="14"/>
        <v>126.42997653654646</v>
      </c>
      <c r="R30" s="27">
        <f t="shared" si="15"/>
        <v>289.23248866521442</v>
      </c>
      <c r="S30" s="19">
        <f t="shared" si="16"/>
        <v>0</v>
      </c>
      <c r="T30" s="23">
        <f t="shared" si="17"/>
        <v>0</v>
      </c>
      <c r="U30" s="49">
        <f t="shared" si="18"/>
        <v>0</v>
      </c>
      <c r="V30" s="54">
        <v>0.66666666666666663</v>
      </c>
      <c r="W30" s="13">
        <f t="shared" si="19"/>
        <v>1968903.8562396518</v>
      </c>
      <c r="X30" s="25">
        <f t="shared" si="19"/>
        <v>195.10298556844418</v>
      </c>
    </row>
    <row r="31" spans="1:24" x14ac:dyDescent="0.2">
      <c r="A31" s="10">
        <v>28</v>
      </c>
      <c r="B31" s="15">
        <f t="shared" si="20"/>
        <v>710.76751133478547</v>
      </c>
      <c r="C31" s="27">
        <f t="shared" si="21"/>
        <v>96.840977761505542</v>
      </c>
      <c r="D31" s="19">
        <f t="shared" si="2"/>
        <v>0</v>
      </c>
      <c r="E31" s="20">
        <f t="shared" si="1"/>
        <v>56.435920178464308</v>
      </c>
      <c r="F31" s="27">
        <f t="shared" si="3"/>
        <v>88.081695456502544</v>
      </c>
      <c r="G31" s="19">
        <f t="shared" si="4"/>
        <v>82130.051122931967</v>
      </c>
      <c r="H31" s="20">
        <f t="shared" si="5"/>
        <v>45.171528117612588</v>
      </c>
      <c r="I31" s="27">
        <f t="shared" si="6"/>
        <v>53.14028204724103</v>
      </c>
      <c r="J31" s="19">
        <f t="shared" si="7"/>
        <v>222973.26662178015</v>
      </c>
      <c r="K31" s="20">
        <f t="shared" si="8"/>
        <v>21.987641569647764</v>
      </c>
      <c r="L31" s="27">
        <f t="shared" si="9"/>
        <v>18.670922180098916</v>
      </c>
      <c r="M31" s="19">
        <f t="shared" si="10"/>
        <v>252435.36566408983</v>
      </c>
      <c r="N31" s="20">
        <f t="shared" si="11"/>
        <v>3.9171005016841525</v>
      </c>
      <c r="O31" s="27">
        <f t="shared" si="12"/>
        <v>445.4437076093152</v>
      </c>
      <c r="P31" s="19">
        <f t="shared" si="13"/>
        <v>3270843.9026268753</v>
      </c>
      <c r="Q31" s="20">
        <f t="shared" si="14"/>
        <v>246.61124662662942</v>
      </c>
      <c r="R31" s="27">
        <f t="shared" si="15"/>
        <v>297.82241494533667</v>
      </c>
      <c r="S31" s="19">
        <f t="shared" si="16"/>
        <v>0</v>
      </c>
      <c r="T31" s="23">
        <f t="shared" si="17"/>
        <v>0</v>
      </c>
      <c r="U31" s="49">
        <f t="shared" si="18"/>
        <v>0</v>
      </c>
      <c r="V31" s="54">
        <v>1.3333333333333333</v>
      </c>
      <c r="W31" s="13">
        <f t="shared" si="19"/>
        <v>3828382.5860356772</v>
      </c>
      <c r="X31" s="25">
        <f t="shared" si="19"/>
        <v>374.12343699403823</v>
      </c>
    </row>
    <row r="32" spans="1:24" x14ac:dyDescent="0.2">
      <c r="A32" s="10">
        <v>29</v>
      </c>
      <c r="B32" s="15">
        <f t="shared" si="20"/>
        <v>702.17758505466327</v>
      </c>
      <c r="C32" s="27">
        <f t="shared" si="21"/>
        <v>89.093699540585106</v>
      </c>
      <c r="D32" s="19">
        <f t="shared" si="2"/>
        <v>0</v>
      </c>
      <c r="E32" s="20">
        <f t="shared" si="1"/>
        <v>25.20439153601319</v>
      </c>
      <c r="F32" s="27">
        <f t="shared" si="3"/>
        <v>87.024350417629734</v>
      </c>
      <c r="G32" s="19">
        <f t="shared" si="4"/>
        <v>39390.364300119589</v>
      </c>
      <c r="H32" s="20">
        <f t="shared" si="5"/>
        <v>21.664700365065773</v>
      </c>
      <c r="I32" s="27">
        <f t="shared" si="6"/>
        <v>52.471578590416229</v>
      </c>
      <c r="J32" s="19">
        <f t="shared" si="7"/>
        <v>106877.39279546072</v>
      </c>
      <c r="K32" s="20">
        <f t="shared" si="8"/>
        <v>10.539298456219042</v>
      </c>
      <c r="L32" s="27">
        <f t="shared" si="9"/>
        <v>18.274913174750669</v>
      </c>
      <c r="M32" s="19">
        <f t="shared" si="10"/>
        <v>119942.34393882318</v>
      </c>
      <c r="N32" s="20">
        <f t="shared" si="11"/>
        <v>1.8611743024989802</v>
      </c>
      <c r="O32" s="27">
        <f t="shared" si="12"/>
        <v>446.91112835023694</v>
      </c>
      <c r="P32" s="19">
        <f t="shared" si="13"/>
        <v>1593018.937334412</v>
      </c>
      <c r="Q32" s="20">
        <f t="shared" si="14"/>
        <v>120.10857067203898</v>
      </c>
      <c r="R32" s="27">
        <f t="shared" si="15"/>
        <v>306.22432992638119</v>
      </c>
      <c r="S32" s="19">
        <f t="shared" si="16"/>
        <v>0</v>
      </c>
      <c r="T32" s="23">
        <f t="shared" si="17"/>
        <v>0</v>
      </c>
      <c r="U32" s="49">
        <f t="shared" si="18"/>
        <v>0</v>
      </c>
      <c r="V32" s="54">
        <v>0.66666666666666663</v>
      </c>
      <c r="W32" s="13">
        <f t="shared" si="19"/>
        <v>1859229.0383688156</v>
      </c>
      <c r="X32" s="25">
        <f t="shared" si="19"/>
        <v>179.37813533183595</v>
      </c>
    </row>
    <row r="33" spans="1:24" ht="16" thickBot="1" x14ac:dyDescent="0.25">
      <c r="A33" s="11">
        <v>30</v>
      </c>
      <c r="B33" s="16">
        <f t="shared" si="20"/>
        <v>693.7756700736187</v>
      </c>
      <c r="C33" s="28">
        <f t="shared" si="21"/>
        <v>81.966203577338305</v>
      </c>
      <c r="D33" s="21">
        <f t="shared" si="2"/>
        <v>0</v>
      </c>
      <c r="E33" s="22">
        <f t="shared" si="1"/>
        <v>11.256330200549581</v>
      </c>
      <c r="F33" s="28">
        <f t="shared" si="3"/>
        <v>85.989648095521233</v>
      </c>
      <c r="G33" s="21">
        <f t="shared" si="4"/>
        <v>18894.184784419715</v>
      </c>
      <c r="H33" s="22">
        <f t="shared" si="5"/>
        <v>10.391801631430845</v>
      </c>
      <c r="I33" s="28">
        <f t="shared" si="6"/>
        <v>51.819224412566683</v>
      </c>
      <c r="J33" s="21">
        <f t="shared" si="7"/>
        <v>51237.202431266211</v>
      </c>
      <c r="K33" s="22">
        <f t="shared" si="8"/>
        <v>5.0525574619720839</v>
      </c>
      <c r="L33" s="28">
        <f t="shared" si="9"/>
        <v>17.899130371343617</v>
      </c>
      <c r="M33" s="21">
        <f t="shared" si="10"/>
        <v>57027.183166782837</v>
      </c>
      <c r="N33" s="22">
        <f t="shared" si="11"/>
        <v>0.88490456638111292</v>
      </c>
      <c r="O33" s="28">
        <f t="shared" si="12"/>
        <v>447.87775268821099</v>
      </c>
      <c r="P33" s="21">
        <f t="shared" si="13"/>
        <v>774982.75675498776</v>
      </c>
      <c r="Q33" s="22">
        <f t="shared" si="14"/>
        <v>58.431239596606211</v>
      </c>
      <c r="R33" s="28">
        <f t="shared" si="15"/>
        <v>314.44804085501897</v>
      </c>
      <c r="S33" s="21">
        <f t="shared" si="16"/>
        <v>0</v>
      </c>
      <c r="T33" s="24">
        <f t="shared" si="17"/>
        <v>0</v>
      </c>
      <c r="U33" s="49">
        <f t="shared" si="18"/>
        <v>0</v>
      </c>
      <c r="V33" s="54">
        <v>0.33333333333333331</v>
      </c>
      <c r="W33" s="13">
        <f t="shared" si="19"/>
        <v>902141.32713745651</v>
      </c>
      <c r="X33" s="25">
        <f t="shared" si="19"/>
        <v>86.016833456939835</v>
      </c>
    </row>
    <row r="34" spans="1:24" ht="16" thickBot="1" x14ac:dyDescent="0.25">
      <c r="B34" s="7"/>
      <c r="C34" s="7"/>
      <c r="D34" s="7"/>
      <c r="E34" s="6"/>
      <c r="F34" s="7"/>
      <c r="G34" s="7"/>
      <c r="H34" s="6"/>
      <c r="I34" s="7"/>
      <c r="J34" s="7"/>
      <c r="K34" s="6"/>
      <c r="L34" s="7"/>
      <c r="M34" s="7"/>
      <c r="N34" s="6"/>
      <c r="O34" s="7"/>
      <c r="P34" s="7"/>
      <c r="Q34" s="7"/>
      <c r="R34" s="7"/>
      <c r="S34" s="7"/>
      <c r="T34" s="7"/>
      <c r="U34" s="29" t="s">
        <v>80</v>
      </c>
      <c r="V34" s="53"/>
      <c r="W34" s="30">
        <f>SUM(W3:W33)</f>
        <v>86249960.569360718</v>
      </c>
      <c r="X34" s="31">
        <f>SUM(X3:X33)</f>
        <v>15714.010986326324</v>
      </c>
    </row>
    <row r="35" spans="1:24" x14ac:dyDescent="0.2">
      <c r="B35" s="7"/>
      <c r="C35" s="7"/>
      <c r="D35" s="7"/>
      <c r="E35" s="6"/>
      <c r="F35" s="7"/>
      <c r="G35" s="7"/>
      <c r="H35" s="6"/>
      <c r="I35" s="7"/>
      <c r="J35" s="7"/>
      <c r="K35" s="6"/>
      <c r="L35" s="7"/>
      <c r="M35" s="7"/>
      <c r="N35" s="6"/>
      <c r="O35" s="7"/>
      <c r="P35" s="7"/>
      <c r="Q35" s="7"/>
      <c r="R35" s="7"/>
      <c r="S35" s="7"/>
      <c r="T35" s="7"/>
      <c r="U35" s="8"/>
      <c r="V35" s="8"/>
      <c r="W35" s="7"/>
      <c r="X35" s="6"/>
    </row>
    <row r="36" spans="1:24" x14ac:dyDescent="0.2">
      <c r="B36" s="7"/>
      <c r="C36" s="7"/>
      <c r="D36" s="7"/>
      <c r="E36" s="6"/>
      <c r="F36" s="7"/>
      <c r="G36" s="7"/>
      <c r="H36" s="6"/>
      <c r="I36" s="7"/>
      <c r="J36" s="7"/>
      <c r="K36" s="6"/>
      <c r="L36" s="7"/>
      <c r="M36" s="7"/>
      <c r="N36" s="6"/>
      <c r="O36" s="7"/>
      <c r="P36" s="7"/>
      <c r="Q36" s="7"/>
      <c r="R36" s="7"/>
      <c r="S36" s="7"/>
      <c r="T36" s="7"/>
      <c r="U36" s="8"/>
      <c r="V36" s="8"/>
      <c r="W36" s="7"/>
      <c r="X36" s="6"/>
    </row>
    <row r="37" spans="1:24" x14ac:dyDescent="0.2">
      <c r="B37" s="7"/>
      <c r="C37" s="7"/>
      <c r="D37" s="7"/>
      <c r="E37" s="6"/>
      <c r="F37" s="7"/>
      <c r="G37" s="7"/>
      <c r="H37" s="6"/>
      <c r="I37" s="7"/>
      <c r="J37" s="7"/>
      <c r="K37" s="6"/>
      <c r="L37" s="7"/>
      <c r="M37" s="7"/>
      <c r="N37" s="6"/>
      <c r="O37" s="7"/>
      <c r="P37" s="7"/>
      <c r="Q37" s="7"/>
      <c r="R37" s="7"/>
      <c r="S37" s="7"/>
      <c r="T37" s="7"/>
      <c r="U37" s="8"/>
      <c r="V37" s="8"/>
      <c r="W37" s="7"/>
      <c r="X37" s="6"/>
    </row>
    <row r="38" spans="1:24" x14ac:dyDescent="0.2">
      <c r="B38" s="7"/>
      <c r="C38" s="7"/>
      <c r="D38" s="7"/>
      <c r="E38" s="6"/>
      <c r="F38" s="7"/>
      <c r="G38" s="7"/>
      <c r="H38" s="6"/>
      <c r="I38" s="7"/>
      <c r="J38" s="7"/>
      <c r="K38" s="6"/>
      <c r="L38" s="7"/>
      <c r="M38" s="7"/>
      <c r="N38" s="6"/>
      <c r="O38" s="7"/>
      <c r="P38" s="7"/>
      <c r="Q38" s="7"/>
      <c r="R38" s="7"/>
      <c r="S38" s="7"/>
      <c r="T38" s="7"/>
      <c r="U38" s="8"/>
      <c r="V38" s="8"/>
      <c r="W38" s="7"/>
      <c r="X38" s="6"/>
    </row>
    <row r="39" spans="1:24" x14ac:dyDescent="0.2">
      <c r="B39" s="7"/>
      <c r="C39" s="7"/>
      <c r="D39" s="7"/>
      <c r="E39" s="6"/>
      <c r="F39" s="7"/>
      <c r="G39" s="7"/>
      <c r="H39" s="6"/>
      <c r="I39" s="7"/>
      <c r="J39" s="7"/>
      <c r="K39" s="6"/>
      <c r="L39" s="7"/>
      <c r="M39" s="7"/>
      <c r="N39" s="6"/>
      <c r="O39" s="7"/>
      <c r="P39" s="7"/>
      <c r="Q39" s="7"/>
      <c r="R39" s="7"/>
      <c r="S39" s="7"/>
      <c r="T39" s="7"/>
      <c r="U39" s="8"/>
      <c r="V39" s="8"/>
      <c r="W39" s="7"/>
      <c r="X39" s="6"/>
    </row>
    <row r="40" spans="1:24" x14ac:dyDescent="0.2">
      <c r="B40" s="7"/>
      <c r="C40" s="7"/>
      <c r="D40" s="7"/>
      <c r="E40" s="6"/>
      <c r="F40" s="7"/>
      <c r="G40" s="7"/>
      <c r="H40" s="6"/>
      <c r="I40" s="7"/>
      <c r="J40" s="7"/>
      <c r="K40" s="6"/>
      <c r="L40" s="7"/>
      <c r="M40" s="7"/>
      <c r="N40" s="6"/>
      <c r="O40" s="7"/>
      <c r="P40" s="7"/>
      <c r="Q40" s="7"/>
      <c r="R40" s="7"/>
      <c r="S40" s="7"/>
      <c r="T40" s="7"/>
      <c r="U40" s="8"/>
      <c r="V40" s="8"/>
      <c r="W40" s="7"/>
      <c r="X40" s="6"/>
    </row>
    <row r="41" spans="1:24" x14ac:dyDescent="0.2">
      <c r="B41" s="7"/>
      <c r="C41" s="7"/>
      <c r="D41" s="7"/>
      <c r="E41" s="6"/>
      <c r="F41" s="7"/>
      <c r="G41" s="7"/>
      <c r="H41" s="6"/>
      <c r="I41" s="7"/>
      <c r="J41" s="7"/>
      <c r="K41" s="6"/>
      <c r="L41" s="7"/>
      <c r="M41" s="7"/>
      <c r="N41" s="6"/>
      <c r="O41" s="7"/>
      <c r="P41" s="7"/>
      <c r="Q41" s="7"/>
      <c r="R41" s="7"/>
      <c r="S41" s="7"/>
      <c r="T41" s="7"/>
      <c r="U41" s="8"/>
      <c r="V41" s="8"/>
      <c r="W41" s="7"/>
      <c r="X41" s="6"/>
    </row>
    <row r="42" spans="1:24" x14ac:dyDescent="0.2">
      <c r="B42" s="7"/>
      <c r="C42" s="7"/>
      <c r="D42" s="7"/>
      <c r="E42" s="6"/>
      <c r="F42" s="7"/>
      <c r="G42" s="7"/>
      <c r="H42" s="6"/>
      <c r="I42" s="7"/>
      <c r="J42" s="7"/>
      <c r="K42" s="6"/>
      <c r="L42" s="7"/>
      <c r="M42" s="7"/>
      <c r="N42" s="6"/>
      <c r="O42" s="7"/>
      <c r="P42" s="7"/>
      <c r="Q42" s="7"/>
      <c r="R42" s="7"/>
      <c r="S42" s="7"/>
      <c r="T42" s="7"/>
      <c r="U42" s="8"/>
      <c r="V42" s="8"/>
      <c r="W42" s="7"/>
      <c r="X42" s="6"/>
    </row>
    <row r="43" spans="1:24" x14ac:dyDescent="0.2">
      <c r="B43" s="7"/>
      <c r="C43" s="7"/>
      <c r="D43" s="7"/>
      <c r="E43" s="6"/>
      <c r="F43" s="7"/>
      <c r="G43" s="7"/>
      <c r="H43" s="6"/>
      <c r="I43" s="7"/>
      <c r="J43" s="7"/>
      <c r="K43" s="6"/>
      <c r="L43" s="7"/>
      <c r="M43" s="7"/>
      <c r="N43" s="6"/>
      <c r="O43" s="7"/>
      <c r="P43" s="7"/>
      <c r="Q43" s="7"/>
      <c r="R43" s="7"/>
      <c r="S43" s="7"/>
      <c r="T43" s="7"/>
      <c r="U43" s="8"/>
      <c r="V43" s="8"/>
      <c r="W43" s="7"/>
      <c r="X43" s="6"/>
    </row>
    <row r="44" spans="1:24" x14ac:dyDescent="0.2">
      <c r="B44" s="7"/>
      <c r="C44" s="7"/>
      <c r="D44" s="7"/>
      <c r="E44" s="6"/>
      <c r="F44" s="7"/>
      <c r="G44" s="7"/>
      <c r="H44" s="6"/>
      <c r="I44" s="7"/>
      <c r="J44" s="7"/>
      <c r="K44" s="6"/>
      <c r="L44" s="7"/>
      <c r="M44" s="7"/>
      <c r="N44" s="6"/>
      <c r="O44" s="7"/>
      <c r="P44" s="7"/>
      <c r="Q44" s="7"/>
      <c r="R44" s="7"/>
      <c r="S44" s="7"/>
      <c r="T44" s="7"/>
      <c r="U44" s="8"/>
      <c r="V44" s="8"/>
      <c r="W44" s="7"/>
      <c r="X44" s="6"/>
    </row>
    <row r="45" spans="1:24" x14ac:dyDescent="0.2">
      <c r="B45" s="7"/>
      <c r="C45" s="7"/>
      <c r="D45" s="7"/>
      <c r="E45" s="6"/>
      <c r="F45" s="7"/>
      <c r="G45" s="7"/>
      <c r="H45" s="6"/>
      <c r="I45" s="7"/>
      <c r="J45" s="7"/>
      <c r="K45" s="6"/>
      <c r="L45" s="7"/>
      <c r="M45" s="7"/>
      <c r="N45" s="6"/>
      <c r="O45" s="7"/>
      <c r="P45" s="7"/>
      <c r="Q45" s="7"/>
      <c r="R45" s="7"/>
      <c r="S45" s="7"/>
      <c r="T45" s="7"/>
      <c r="U45" s="8"/>
      <c r="V45" s="8"/>
      <c r="W45" s="7"/>
      <c r="X45" s="6"/>
    </row>
    <row r="46" spans="1:24" x14ac:dyDescent="0.2">
      <c r="B46" s="7"/>
      <c r="C46" s="7"/>
      <c r="D46" s="7"/>
      <c r="E46" s="6"/>
      <c r="F46" s="7"/>
      <c r="G46" s="7"/>
      <c r="H46" s="6"/>
      <c r="I46" s="7"/>
      <c r="J46" s="7"/>
      <c r="K46" s="6"/>
      <c r="L46" s="7"/>
      <c r="M46" s="7"/>
      <c r="N46" s="6"/>
      <c r="O46" s="7"/>
      <c r="P46" s="7"/>
      <c r="Q46" s="7"/>
      <c r="R46" s="7"/>
      <c r="S46" s="7"/>
      <c r="T46" s="7"/>
      <c r="U46" s="8"/>
      <c r="V46" s="8"/>
      <c r="W46" s="7"/>
      <c r="X46" s="6"/>
    </row>
    <row r="47" spans="1:24" x14ac:dyDescent="0.2">
      <c r="B47" s="7"/>
      <c r="C47" s="7"/>
      <c r="D47" s="7"/>
      <c r="E47" s="6"/>
      <c r="F47" s="7"/>
      <c r="G47" s="7"/>
      <c r="H47" s="6"/>
      <c r="I47" s="7"/>
      <c r="J47" s="7"/>
      <c r="K47" s="6"/>
      <c r="L47" s="7"/>
      <c r="M47" s="7"/>
      <c r="N47" s="6"/>
      <c r="O47" s="7"/>
      <c r="P47" s="7"/>
      <c r="Q47" s="7"/>
      <c r="R47" s="7"/>
      <c r="S47" s="7"/>
      <c r="T47" s="7"/>
      <c r="U47" s="8"/>
      <c r="V47" s="8"/>
      <c r="W47" s="7"/>
      <c r="X47" s="6"/>
    </row>
    <row r="48" spans="1:24" x14ac:dyDescent="0.2">
      <c r="B48" s="7"/>
      <c r="C48" s="7"/>
      <c r="D48" s="7"/>
      <c r="E48" s="6"/>
      <c r="F48" s="7"/>
      <c r="G48" s="7"/>
      <c r="H48" s="6"/>
      <c r="I48" s="7"/>
      <c r="J48" s="7"/>
      <c r="K48" s="6"/>
      <c r="L48" s="7"/>
      <c r="M48" s="7"/>
      <c r="N48" s="6"/>
      <c r="O48" s="7"/>
      <c r="P48" s="7"/>
      <c r="Q48" s="7"/>
      <c r="R48" s="7"/>
      <c r="S48" s="7"/>
      <c r="T48" s="7"/>
      <c r="U48" s="8"/>
      <c r="V48" s="8"/>
      <c r="W48" s="7"/>
      <c r="X48" s="6"/>
    </row>
    <row r="49" spans="2:24" x14ac:dyDescent="0.2">
      <c r="B49" s="7"/>
      <c r="C49" s="7"/>
      <c r="D49" s="7"/>
      <c r="E49" s="6"/>
      <c r="F49" s="7"/>
      <c r="G49" s="7"/>
      <c r="H49" s="6"/>
      <c r="I49" s="7"/>
      <c r="J49" s="7"/>
      <c r="K49" s="6"/>
      <c r="L49" s="7"/>
      <c r="M49" s="7"/>
      <c r="N49" s="6"/>
      <c r="O49" s="7"/>
      <c r="P49" s="7"/>
      <c r="Q49" s="7"/>
      <c r="R49" s="7"/>
      <c r="S49" s="7"/>
      <c r="T49" s="7"/>
      <c r="U49" s="8"/>
      <c r="V49" s="8"/>
      <c r="W49" s="7"/>
      <c r="X49" s="6"/>
    </row>
    <row r="50" spans="2:24" x14ac:dyDescent="0.2">
      <c r="B50" s="7"/>
      <c r="C50" s="7"/>
      <c r="D50" s="7"/>
      <c r="E50" s="6"/>
      <c r="F50" s="7"/>
      <c r="G50" s="7"/>
      <c r="H50" s="6"/>
      <c r="I50" s="7"/>
      <c r="J50" s="7"/>
      <c r="K50" s="6"/>
      <c r="L50" s="7"/>
      <c r="M50" s="7"/>
      <c r="N50" s="6"/>
      <c r="O50" s="7"/>
      <c r="P50" s="7"/>
      <c r="Q50" s="7"/>
      <c r="R50" s="7"/>
      <c r="S50" s="7"/>
      <c r="T50" s="7"/>
      <c r="U50" s="8"/>
      <c r="V50" s="8"/>
      <c r="W50" s="7"/>
      <c r="X50" s="6"/>
    </row>
    <row r="51" spans="2:24" x14ac:dyDescent="0.2">
      <c r="B51" s="7"/>
      <c r="C51" s="7"/>
      <c r="D51" s="7"/>
      <c r="E51" s="6"/>
      <c r="F51" s="7"/>
      <c r="G51" s="7"/>
      <c r="H51" s="6"/>
      <c r="I51" s="7"/>
      <c r="J51" s="7"/>
      <c r="K51" s="6"/>
      <c r="L51" s="7"/>
      <c r="M51" s="7"/>
      <c r="N51" s="6"/>
      <c r="O51" s="7"/>
      <c r="P51" s="7"/>
      <c r="Q51" s="7"/>
      <c r="R51" s="7"/>
      <c r="S51" s="7"/>
      <c r="T51" s="7"/>
      <c r="U51" s="8"/>
      <c r="V51" s="8"/>
      <c r="W51" s="7"/>
      <c r="X51" s="6"/>
    </row>
    <row r="52" spans="2:24" x14ac:dyDescent="0.2">
      <c r="B52" s="7"/>
      <c r="C52" s="7"/>
      <c r="D52" s="7"/>
      <c r="E52" s="6"/>
      <c r="F52" s="7"/>
      <c r="G52" s="7"/>
      <c r="H52" s="6"/>
      <c r="I52" s="7"/>
      <c r="J52" s="7"/>
      <c r="K52" s="6"/>
      <c r="L52" s="7"/>
      <c r="M52" s="7"/>
      <c r="N52" s="6"/>
      <c r="O52" s="7"/>
      <c r="P52" s="7"/>
      <c r="Q52" s="7"/>
      <c r="R52" s="7"/>
      <c r="S52" s="7"/>
      <c r="T52" s="7"/>
      <c r="U52" s="8"/>
      <c r="V52" s="8"/>
      <c r="W52" s="7"/>
      <c r="X52" s="6"/>
    </row>
    <row r="53" spans="2:24" x14ac:dyDescent="0.2">
      <c r="B53" s="7"/>
      <c r="C53" s="7"/>
      <c r="D53" s="7"/>
      <c r="E53" s="6"/>
      <c r="F53" s="7"/>
      <c r="G53" s="7"/>
      <c r="H53" s="6"/>
      <c r="I53" s="7"/>
      <c r="J53" s="7"/>
      <c r="K53" s="6"/>
      <c r="L53" s="7"/>
      <c r="M53" s="7"/>
      <c r="N53" s="6"/>
      <c r="O53" s="7"/>
      <c r="P53" s="7"/>
      <c r="Q53" s="7"/>
      <c r="R53" s="7"/>
      <c r="S53" s="7"/>
      <c r="T53" s="7"/>
      <c r="U53" s="8"/>
      <c r="V53" s="8"/>
      <c r="W53" s="7"/>
      <c r="X53" s="6"/>
    </row>
    <row r="54" spans="2:24" x14ac:dyDescent="0.2">
      <c r="B54" s="7"/>
      <c r="C54" s="7"/>
      <c r="D54" s="7"/>
      <c r="E54" s="6"/>
      <c r="F54" s="7"/>
      <c r="G54" s="7"/>
      <c r="H54" s="6"/>
      <c r="I54" s="7"/>
      <c r="J54" s="7"/>
      <c r="K54" s="6"/>
      <c r="L54" s="7"/>
      <c r="M54" s="7"/>
      <c r="N54" s="6"/>
      <c r="O54" s="7"/>
      <c r="P54" s="7"/>
      <c r="Q54" s="7"/>
      <c r="R54" s="7"/>
      <c r="S54" s="7"/>
      <c r="T54" s="7"/>
      <c r="U54" s="8"/>
      <c r="V54" s="8"/>
      <c r="W54" s="7"/>
      <c r="X54" s="6"/>
    </row>
    <row r="55" spans="2:24" x14ac:dyDescent="0.2">
      <c r="B55" s="7"/>
      <c r="C55" s="7"/>
      <c r="D55" s="7"/>
      <c r="E55" s="6"/>
      <c r="F55" s="7"/>
      <c r="G55" s="7"/>
      <c r="H55" s="6"/>
      <c r="I55" s="7"/>
      <c r="J55" s="7"/>
      <c r="K55" s="6"/>
      <c r="L55" s="7"/>
      <c r="M55" s="7"/>
      <c r="N55" s="6"/>
      <c r="O55" s="7"/>
      <c r="P55" s="7"/>
      <c r="Q55" s="7"/>
      <c r="R55" s="7"/>
      <c r="S55" s="7"/>
      <c r="T55" s="7"/>
      <c r="U55" s="8"/>
      <c r="V55" s="8"/>
      <c r="W55" s="7"/>
      <c r="X55" s="6"/>
    </row>
    <row r="56" spans="2:24" x14ac:dyDescent="0.2">
      <c r="B56" s="7"/>
      <c r="C56" s="7"/>
      <c r="D56" s="7"/>
      <c r="E56" s="6"/>
      <c r="F56" s="7"/>
      <c r="G56" s="7"/>
      <c r="H56" s="6"/>
      <c r="I56" s="7"/>
      <c r="J56" s="7"/>
      <c r="K56" s="6"/>
      <c r="L56" s="7"/>
      <c r="M56" s="7"/>
      <c r="N56" s="6"/>
      <c r="O56" s="7"/>
      <c r="P56" s="7"/>
      <c r="Q56" s="7"/>
      <c r="R56" s="7"/>
      <c r="S56" s="7"/>
      <c r="T56" s="7"/>
      <c r="U56" s="8"/>
      <c r="V56" s="8"/>
      <c r="W56" s="7"/>
      <c r="X56" s="6"/>
    </row>
    <row r="57" spans="2:24" x14ac:dyDescent="0.2">
      <c r="B57" s="7"/>
      <c r="C57" s="7"/>
      <c r="D57" s="7"/>
      <c r="E57" s="6"/>
      <c r="F57" s="7"/>
      <c r="G57" s="7"/>
      <c r="H57" s="6"/>
      <c r="I57" s="7"/>
      <c r="J57" s="7"/>
      <c r="K57" s="6"/>
      <c r="L57" s="7"/>
      <c r="M57" s="7"/>
      <c r="N57" s="6"/>
      <c r="O57" s="7"/>
      <c r="P57" s="7"/>
      <c r="Q57" s="7"/>
      <c r="R57" s="7"/>
      <c r="S57" s="7"/>
      <c r="T57" s="7"/>
      <c r="U57" s="8"/>
      <c r="V57" s="8"/>
      <c r="W57" s="7"/>
      <c r="X57" s="6"/>
    </row>
    <row r="58" spans="2:24" x14ac:dyDescent="0.2">
      <c r="B58" s="7"/>
      <c r="C58" s="7"/>
      <c r="D58" s="7"/>
      <c r="E58" s="6"/>
      <c r="F58" s="7"/>
      <c r="G58" s="7"/>
      <c r="H58" s="6"/>
      <c r="I58" s="7"/>
      <c r="J58" s="7"/>
      <c r="K58" s="6"/>
      <c r="L58" s="7"/>
      <c r="M58" s="7"/>
      <c r="N58" s="6"/>
      <c r="O58" s="7"/>
      <c r="P58" s="7"/>
      <c r="Q58" s="7"/>
      <c r="R58" s="7"/>
      <c r="S58" s="7"/>
      <c r="T58" s="7"/>
      <c r="U58" s="8"/>
      <c r="V58" s="8"/>
      <c r="W58" s="7"/>
      <c r="X58" s="6"/>
    </row>
    <row r="59" spans="2:24" x14ac:dyDescent="0.2">
      <c r="B59" s="7"/>
      <c r="C59" s="7"/>
      <c r="D59" s="7"/>
      <c r="E59" s="6"/>
      <c r="F59" s="7"/>
      <c r="G59" s="7"/>
      <c r="H59" s="6"/>
      <c r="I59" s="7"/>
      <c r="J59" s="7"/>
      <c r="K59" s="6"/>
      <c r="L59" s="7"/>
      <c r="M59" s="7"/>
      <c r="N59" s="6"/>
      <c r="O59" s="7"/>
      <c r="P59" s="7"/>
      <c r="Q59" s="7"/>
      <c r="R59" s="7"/>
      <c r="S59" s="7"/>
      <c r="T59" s="7"/>
      <c r="U59" s="8"/>
      <c r="V59" s="8"/>
      <c r="W59" s="7"/>
      <c r="X59" s="6"/>
    </row>
    <row r="60" spans="2:24" x14ac:dyDescent="0.2">
      <c r="B60" s="7"/>
      <c r="C60" s="7"/>
      <c r="D60" s="7"/>
      <c r="E60" s="6"/>
      <c r="F60" s="7"/>
      <c r="G60" s="7"/>
      <c r="H60" s="6"/>
      <c r="I60" s="7"/>
      <c r="J60" s="7"/>
      <c r="K60" s="6"/>
      <c r="L60" s="7"/>
      <c r="M60" s="7"/>
      <c r="N60" s="6"/>
      <c r="O60" s="7"/>
      <c r="P60" s="7"/>
      <c r="Q60" s="7"/>
      <c r="R60" s="7"/>
      <c r="S60" s="7"/>
      <c r="T60" s="7"/>
      <c r="U60" s="8"/>
      <c r="V60" s="8"/>
      <c r="W60" s="7"/>
      <c r="X60" s="6"/>
    </row>
    <row r="61" spans="2:24" x14ac:dyDescent="0.2">
      <c r="B61" s="7"/>
      <c r="C61" s="7"/>
      <c r="D61" s="7"/>
      <c r="E61" s="6"/>
      <c r="F61" s="7"/>
      <c r="G61" s="7"/>
      <c r="H61" s="6"/>
      <c r="I61" s="7"/>
      <c r="J61" s="7"/>
      <c r="K61" s="6"/>
      <c r="L61" s="7"/>
      <c r="M61" s="7"/>
      <c r="N61" s="6"/>
      <c r="O61" s="7"/>
      <c r="P61" s="7"/>
      <c r="Q61" s="7"/>
      <c r="R61" s="7"/>
      <c r="S61" s="7"/>
      <c r="T61" s="7"/>
      <c r="U61" s="8"/>
      <c r="V61" s="8"/>
      <c r="W61" s="7"/>
      <c r="X61" s="6"/>
    </row>
    <row r="62" spans="2:24" x14ac:dyDescent="0.2">
      <c r="B62" s="7"/>
      <c r="C62" s="7"/>
      <c r="D62" s="7"/>
      <c r="E62" s="6"/>
      <c r="F62" s="7"/>
      <c r="G62" s="7"/>
      <c r="H62" s="6"/>
      <c r="I62" s="7"/>
      <c r="J62" s="7"/>
      <c r="K62" s="6"/>
      <c r="L62" s="7"/>
      <c r="M62" s="7"/>
      <c r="N62" s="6"/>
      <c r="O62" s="7"/>
      <c r="P62" s="7"/>
      <c r="Q62" s="7"/>
      <c r="R62" s="7"/>
      <c r="S62" s="7"/>
      <c r="T62" s="7"/>
      <c r="U62" s="8"/>
      <c r="V62" s="8"/>
      <c r="W62" s="7"/>
      <c r="X62" s="6"/>
    </row>
    <row r="63" spans="2:24" x14ac:dyDescent="0.2">
      <c r="B63" s="7"/>
      <c r="C63" s="7"/>
      <c r="D63" s="7"/>
      <c r="E63" s="6"/>
      <c r="F63" s="7"/>
      <c r="G63" s="7"/>
      <c r="H63" s="6"/>
      <c r="I63" s="7"/>
      <c r="J63" s="7"/>
      <c r="K63" s="6"/>
      <c r="L63" s="7"/>
      <c r="M63" s="7"/>
      <c r="N63" s="6"/>
      <c r="O63" s="7"/>
      <c r="P63" s="7"/>
      <c r="Q63" s="7"/>
      <c r="R63" s="7"/>
      <c r="S63" s="7"/>
      <c r="T63" s="7"/>
      <c r="U63" s="8"/>
      <c r="V63" s="8"/>
      <c r="W63" s="7"/>
      <c r="X63" s="6"/>
    </row>
    <row r="64" spans="2:24" x14ac:dyDescent="0.2">
      <c r="B64" s="7"/>
      <c r="C64" s="7"/>
      <c r="D64" s="7"/>
      <c r="E64" s="6"/>
      <c r="F64" s="7"/>
      <c r="G64" s="7"/>
      <c r="H64" s="6"/>
      <c r="I64" s="7"/>
      <c r="J64" s="7"/>
      <c r="K64" s="6"/>
      <c r="L64" s="7"/>
      <c r="M64" s="7"/>
      <c r="N64" s="6"/>
      <c r="O64" s="7"/>
      <c r="P64" s="7"/>
      <c r="Q64" s="7"/>
      <c r="R64" s="7"/>
      <c r="S64" s="7"/>
      <c r="T64" s="7"/>
      <c r="U64" s="8"/>
      <c r="V64" s="8"/>
      <c r="W64" s="7"/>
      <c r="X64" s="6"/>
    </row>
    <row r="65" spans="2:24" x14ac:dyDescent="0.2">
      <c r="B65" s="7"/>
      <c r="C65" s="7"/>
      <c r="D65" s="7"/>
      <c r="E65" s="6"/>
      <c r="F65" s="7"/>
      <c r="G65" s="7"/>
      <c r="H65" s="6"/>
      <c r="I65" s="7"/>
      <c r="J65" s="7"/>
      <c r="K65" s="6"/>
      <c r="L65" s="7"/>
      <c r="M65" s="7"/>
      <c r="N65" s="6"/>
      <c r="O65" s="7"/>
      <c r="P65" s="7"/>
      <c r="Q65" s="7"/>
      <c r="R65" s="7"/>
      <c r="S65" s="7"/>
      <c r="T65" s="7"/>
      <c r="U65" s="8"/>
      <c r="V65" s="8"/>
      <c r="W65" s="7"/>
      <c r="X65" s="6"/>
    </row>
    <row r="66" spans="2:24" x14ac:dyDescent="0.2">
      <c r="B66" s="7"/>
      <c r="C66" s="7"/>
      <c r="D66" s="7"/>
      <c r="E66" s="6"/>
      <c r="F66" s="7"/>
      <c r="G66" s="7"/>
      <c r="H66" s="6"/>
      <c r="I66" s="7"/>
      <c r="J66" s="7"/>
      <c r="K66" s="6"/>
      <c r="L66" s="7"/>
      <c r="M66" s="7"/>
      <c r="N66" s="6"/>
      <c r="O66" s="7"/>
      <c r="P66" s="7"/>
      <c r="Q66" s="7"/>
      <c r="R66" s="7"/>
      <c r="S66" s="7"/>
      <c r="T66" s="7"/>
      <c r="U66" s="8"/>
      <c r="V66" s="8"/>
      <c r="W66" s="7"/>
      <c r="X66" s="6"/>
    </row>
    <row r="67" spans="2:24" x14ac:dyDescent="0.2">
      <c r="B67" s="7"/>
      <c r="C67" s="7"/>
      <c r="D67" s="7"/>
      <c r="E67" s="6"/>
      <c r="F67" s="7"/>
      <c r="G67" s="7"/>
      <c r="H67" s="6"/>
      <c r="I67" s="7"/>
      <c r="J67" s="7"/>
      <c r="K67" s="6"/>
      <c r="L67" s="7"/>
      <c r="M67" s="7"/>
      <c r="N67" s="6"/>
      <c r="O67" s="7"/>
      <c r="P67" s="7"/>
      <c r="Q67" s="7"/>
      <c r="R67" s="7"/>
      <c r="S67" s="7"/>
      <c r="T67" s="7"/>
      <c r="U67" s="8"/>
      <c r="V67" s="8"/>
      <c r="W67" s="7"/>
      <c r="X67" s="6"/>
    </row>
    <row r="68" spans="2:24" x14ac:dyDescent="0.2">
      <c r="B68" s="7"/>
      <c r="C68" s="7"/>
      <c r="D68" s="7"/>
      <c r="E68" s="6"/>
      <c r="F68" s="7"/>
      <c r="G68" s="7"/>
      <c r="H68" s="6"/>
      <c r="I68" s="7"/>
      <c r="J68" s="7"/>
      <c r="K68" s="6"/>
      <c r="L68" s="7"/>
      <c r="M68" s="7"/>
      <c r="N68" s="6"/>
      <c r="O68" s="7"/>
      <c r="P68" s="7"/>
      <c r="Q68" s="7"/>
      <c r="R68" s="7"/>
      <c r="S68" s="7"/>
      <c r="T68" s="7"/>
      <c r="U68" s="8"/>
      <c r="V68" s="8"/>
      <c r="W68" s="7"/>
      <c r="X68" s="6"/>
    </row>
    <row r="69" spans="2:24" x14ac:dyDescent="0.2">
      <c r="B69" s="7"/>
      <c r="C69" s="7"/>
      <c r="D69" s="7"/>
      <c r="E69" s="6"/>
      <c r="F69" s="7"/>
      <c r="G69" s="7"/>
      <c r="H69" s="6"/>
      <c r="I69" s="7"/>
      <c r="J69" s="7"/>
      <c r="K69" s="6"/>
      <c r="L69" s="7"/>
      <c r="M69" s="7"/>
      <c r="N69" s="6"/>
      <c r="O69" s="7"/>
      <c r="P69" s="7"/>
      <c r="Q69" s="7"/>
      <c r="R69" s="7"/>
      <c r="S69" s="7"/>
      <c r="T69" s="7"/>
      <c r="U69" s="8"/>
      <c r="V69" s="8"/>
      <c r="W69" s="7"/>
      <c r="X69" s="6"/>
    </row>
    <row r="70" spans="2:24" x14ac:dyDescent="0.2">
      <c r="B70" s="7"/>
      <c r="C70" s="7"/>
      <c r="D70" s="7"/>
      <c r="E70" s="6"/>
      <c r="F70" s="7"/>
      <c r="G70" s="7"/>
      <c r="H70" s="6"/>
      <c r="I70" s="7"/>
      <c r="J70" s="7"/>
      <c r="K70" s="6"/>
      <c r="L70" s="7"/>
      <c r="M70" s="7"/>
      <c r="N70" s="6"/>
      <c r="O70" s="7"/>
      <c r="P70" s="7"/>
      <c r="Q70" s="7"/>
      <c r="R70" s="7"/>
      <c r="S70" s="7"/>
      <c r="T70" s="7"/>
      <c r="U70" s="8"/>
      <c r="V70" s="8"/>
      <c r="W70" s="7"/>
      <c r="X70" s="6"/>
    </row>
    <row r="71" spans="2:24" x14ac:dyDescent="0.2">
      <c r="B71" s="7"/>
      <c r="C71" s="7"/>
      <c r="D71" s="7"/>
      <c r="E71" s="6"/>
      <c r="F71" s="7"/>
      <c r="G71" s="7"/>
      <c r="H71" s="6"/>
      <c r="I71" s="7"/>
      <c r="J71" s="7"/>
      <c r="K71" s="6"/>
      <c r="L71" s="7"/>
      <c r="M71" s="7"/>
      <c r="N71" s="6"/>
      <c r="O71" s="7"/>
      <c r="P71" s="7"/>
      <c r="Q71" s="7"/>
      <c r="R71" s="7"/>
      <c r="S71" s="7"/>
      <c r="T71" s="7"/>
      <c r="U71" s="8"/>
      <c r="V71" s="8"/>
      <c r="W71" s="7"/>
      <c r="X71" s="6"/>
    </row>
    <row r="72" spans="2:24" x14ac:dyDescent="0.2">
      <c r="B72" s="7"/>
      <c r="C72" s="7"/>
      <c r="D72" s="7"/>
      <c r="E72" s="6"/>
      <c r="F72" s="7"/>
      <c r="G72" s="7"/>
      <c r="H72" s="6"/>
      <c r="I72" s="7"/>
      <c r="J72" s="7"/>
      <c r="K72" s="6"/>
      <c r="L72" s="7"/>
      <c r="M72" s="7"/>
      <c r="N72" s="6"/>
      <c r="O72" s="7"/>
      <c r="P72" s="7"/>
      <c r="Q72" s="7"/>
      <c r="R72" s="7"/>
      <c r="S72" s="7"/>
      <c r="T72" s="7"/>
      <c r="U72" s="8"/>
      <c r="V72" s="8"/>
      <c r="W72" s="7"/>
      <c r="X72" s="6"/>
    </row>
    <row r="73" spans="2:24" x14ac:dyDescent="0.2">
      <c r="B73" s="7"/>
      <c r="C73" s="7"/>
      <c r="D73" s="7"/>
      <c r="E73" s="6"/>
      <c r="F73" s="7"/>
      <c r="G73" s="7"/>
      <c r="H73" s="6"/>
      <c r="I73" s="7"/>
      <c r="J73" s="7"/>
      <c r="K73" s="6"/>
      <c r="L73" s="7"/>
      <c r="M73" s="7"/>
      <c r="N73" s="6"/>
      <c r="O73" s="7"/>
      <c r="P73" s="7"/>
      <c r="Q73" s="7"/>
      <c r="R73" s="7"/>
      <c r="S73" s="7"/>
      <c r="T73" s="7"/>
      <c r="U73" s="8"/>
      <c r="V73" s="8"/>
      <c r="W73" s="7"/>
      <c r="X73" s="6"/>
    </row>
    <row r="74" spans="2:24" x14ac:dyDescent="0.2">
      <c r="B74" s="7"/>
      <c r="C74" s="7"/>
      <c r="D74" s="7"/>
      <c r="E74" s="6"/>
      <c r="F74" s="7"/>
      <c r="G74" s="7"/>
      <c r="H74" s="6"/>
      <c r="I74" s="7"/>
      <c r="J74" s="7"/>
      <c r="K74" s="6"/>
      <c r="L74" s="7"/>
      <c r="M74" s="7"/>
      <c r="N74" s="6"/>
      <c r="O74" s="7"/>
      <c r="P74" s="7"/>
      <c r="Q74" s="7"/>
      <c r="R74" s="7"/>
      <c r="S74" s="7"/>
      <c r="T74" s="7"/>
      <c r="U74" s="8"/>
      <c r="V74" s="8"/>
      <c r="W74" s="7"/>
      <c r="X74" s="6"/>
    </row>
    <row r="75" spans="2:24" x14ac:dyDescent="0.2">
      <c r="B75" s="7"/>
      <c r="C75" s="7"/>
      <c r="D75" s="7"/>
      <c r="E75" s="6"/>
      <c r="F75" s="7"/>
      <c r="G75" s="7"/>
      <c r="H75" s="6"/>
      <c r="I75" s="7"/>
      <c r="J75" s="7"/>
      <c r="K75" s="6"/>
      <c r="L75" s="7"/>
      <c r="M75" s="7"/>
      <c r="N75" s="6"/>
      <c r="O75" s="7"/>
      <c r="P75" s="7"/>
      <c r="Q75" s="7"/>
      <c r="R75" s="7"/>
      <c r="S75" s="7"/>
      <c r="T75" s="7"/>
      <c r="U75" s="8"/>
      <c r="V75" s="8"/>
      <c r="W75" s="7"/>
      <c r="X75" s="6"/>
    </row>
    <row r="76" spans="2:24" x14ac:dyDescent="0.2">
      <c r="B76" s="7"/>
      <c r="C76" s="7"/>
      <c r="D76" s="7"/>
      <c r="E76" s="6"/>
      <c r="F76" s="7"/>
      <c r="G76" s="7"/>
      <c r="H76" s="6"/>
      <c r="I76" s="7"/>
      <c r="J76" s="7"/>
      <c r="K76" s="6"/>
      <c r="L76" s="7"/>
      <c r="M76" s="7"/>
      <c r="N76" s="6"/>
      <c r="O76" s="7"/>
      <c r="P76" s="7"/>
      <c r="Q76" s="7"/>
      <c r="R76" s="7"/>
      <c r="S76" s="7"/>
      <c r="T76" s="7"/>
      <c r="U76" s="8"/>
      <c r="V76" s="8"/>
      <c r="W76" s="7"/>
      <c r="X76" s="6"/>
    </row>
    <row r="77" spans="2:24" x14ac:dyDescent="0.2">
      <c r="B77" s="7"/>
      <c r="C77" s="7"/>
      <c r="D77" s="7"/>
      <c r="E77" s="6"/>
      <c r="F77" s="7"/>
      <c r="G77" s="7"/>
      <c r="H77" s="6"/>
      <c r="I77" s="7"/>
      <c r="J77" s="7"/>
      <c r="K77" s="6"/>
      <c r="L77" s="7"/>
      <c r="M77" s="7"/>
      <c r="N77" s="6"/>
      <c r="O77" s="7"/>
      <c r="P77" s="7"/>
      <c r="Q77" s="7"/>
      <c r="R77" s="7"/>
      <c r="S77" s="7"/>
      <c r="T77" s="7"/>
      <c r="U77" s="8"/>
      <c r="V77" s="8"/>
      <c r="W77" s="7"/>
      <c r="X77" s="6"/>
    </row>
    <row r="78" spans="2:24" x14ac:dyDescent="0.2">
      <c r="B78" s="7"/>
      <c r="C78" s="7"/>
      <c r="D78" s="7"/>
      <c r="E78" s="6"/>
      <c r="F78" s="7"/>
      <c r="G78" s="7"/>
      <c r="H78" s="6"/>
      <c r="I78" s="7"/>
      <c r="J78" s="7"/>
      <c r="K78" s="6"/>
      <c r="L78" s="7"/>
      <c r="M78" s="7"/>
      <c r="N78" s="6"/>
      <c r="O78" s="7"/>
      <c r="P78" s="7"/>
      <c r="Q78" s="7"/>
      <c r="R78" s="7"/>
      <c r="S78" s="7"/>
      <c r="T78" s="7"/>
      <c r="U78" s="8"/>
      <c r="V78" s="8"/>
      <c r="W78" s="7"/>
      <c r="X78" s="6"/>
    </row>
    <row r="79" spans="2:24" x14ac:dyDescent="0.2">
      <c r="B79" s="7"/>
      <c r="C79" s="7"/>
      <c r="D79" s="7"/>
      <c r="E79" s="6"/>
      <c r="F79" s="7"/>
      <c r="G79" s="7"/>
      <c r="H79" s="6"/>
      <c r="I79" s="7"/>
      <c r="J79" s="7"/>
      <c r="K79" s="6"/>
      <c r="L79" s="7"/>
      <c r="M79" s="7"/>
      <c r="N79" s="6"/>
      <c r="O79" s="7"/>
      <c r="P79" s="7"/>
      <c r="Q79" s="7"/>
      <c r="R79" s="7"/>
      <c r="S79" s="7"/>
      <c r="T79" s="7"/>
      <c r="U79" s="8"/>
      <c r="V79" s="8"/>
      <c r="W79" s="7"/>
      <c r="X79" s="6"/>
    </row>
    <row r="80" spans="2:24" x14ac:dyDescent="0.2">
      <c r="B80" s="7"/>
      <c r="C80" s="7"/>
      <c r="D80" s="7"/>
      <c r="E80" s="6"/>
      <c r="F80" s="7"/>
      <c r="G80" s="7"/>
      <c r="H80" s="6"/>
      <c r="I80" s="7"/>
      <c r="J80" s="7"/>
      <c r="K80" s="6"/>
      <c r="L80" s="7"/>
      <c r="M80" s="7"/>
      <c r="N80" s="6"/>
      <c r="O80" s="7"/>
      <c r="P80" s="7"/>
      <c r="Q80" s="7"/>
      <c r="R80" s="7"/>
      <c r="S80" s="7"/>
      <c r="T80" s="7"/>
      <c r="U80" s="8"/>
      <c r="V80" s="8"/>
      <c r="W80" s="7"/>
      <c r="X80" s="6"/>
    </row>
    <row r="81" spans="2:24" x14ac:dyDescent="0.2">
      <c r="B81" s="7"/>
      <c r="C81" s="7"/>
      <c r="D81" s="7"/>
      <c r="E81" s="6"/>
      <c r="F81" s="7"/>
      <c r="G81" s="7"/>
      <c r="H81" s="6"/>
      <c r="I81" s="7"/>
      <c r="J81" s="7"/>
      <c r="K81" s="6"/>
      <c r="L81" s="7"/>
      <c r="M81" s="7"/>
      <c r="N81" s="6"/>
      <c r="O81" s="7"/>
      <c r="P81" s="7"/>
      <c r="Q81" s="7"/>
      <c r="R81" s="7"/>
      <c r="S81" s="7"/>
      <c r="T81" s="7"/>
      <c r="U81" s="8"/>
      <c r="V81" s="8"/>
      <c r="W81" s="7"/>
      <c r="X81" s="6"/>
    </row>
    <row r="82" spans="2:24" x14ac:dyDescent="0.2">
      <c r="B82" s="7"/>
      <c r="C82" s="7"/>
      <c r="D82" s="7"/>
      <c r="E82" s="6"/>
      <c r="F82" s="7"/>
      <c r="G82" s="7"/>
      <c r="H82" s="6"/>
      <c r="I82" s="7"/>
      <c r="J82" s="7"/>
      <c r="K82" s="6"/>
      <c r="L82" s="7"/>
      <c r="M82" s="7"/>
      <c r="N82" s="6"/>
      <c r="O82" s="7"/>
      <c r="P82" s="7"/>
      <c r="Q82" s="7"/>
      <c r="R82" s="7"/>
      <c r="S82" s="7"/>
      <c r="T82" s="7"/>
      <c r="U82" s="8"/>
      <c r="V82" s="8"/>
      <c r="W82" s="7"/>
      <c r="X82" s="6"/>
    </row>
    <row r="83" spans="2:24" x14ac:dyDescent="0.2">
      <c r="B83" s="7"/>
      <c r="C83" s="7"/>
      <c r="D83" s="7"/>
      <c r="E83" s="6"/>
      <c r="F83" s="7"/>
      <c r="G83" s="7"/>
      <c r="H83" s="6"/>
      <c r="I83" s="7"/>
      <c r="J83" s="7"/>
      <c r="K83" s="6"/>
      <c r="L83" s="7"/>
      <c r="M83" s="7"/>
      <c r="N83" s="6"/>
      <c r="O83" s="7"/>
      <c r="P83" s="7"/>
      <c r="Q83" s="7"/>
      <c r="R83" s="7"/>
      <c r="S83" s="7"/>
      <c r="T83" s="7"/>
      <c r="U83" s="8"/>
      <c r="V83" s="8"/>
      <c r="W83" s="7"/>
      <c r="X83" s="6"/>
    </row>
    <row r="84" spans="2:24" x14ac:dyDescent="0.2">
      <c r="B84" s="7"/>
      <c r="C84" s="7"/>
      <c r="D84" s="7"/>
      <c r="E84" s="6"/>
      <c r="F84" s="7"/>
      <c r="G84" s="7"/>
      <c r="H84" s="6"/>
      <c r="I84" s="7"/>
      <c r="J84" s="7"/>
      <c r="K84" s="6"/>
      <c r="L84" s="7"/>
      <c r="M84" s="7"/>
      <c r="N84" s="6"/>
      <c r="O84" s="7"/>
      <c r="P84" s="7"/>
      <c r="Q84" s="7"/>
      <c r="R84" s="7"/>
      <c r="S84" s="7"/>
      <c r="T84" s="7"/>
      <c r="U84" s="8"/>
      <c r="V84" s="8"/>
      <c r="W84" s="7"/>
      <c r="X84" s="6"/>
    </row>
    <row r="85" spans="2:24" x14ac:dyDescent="0.2">
      <c r="B85" s="7"/>
      <c r="C85" s="7"/>
      <c r="D85" s="7"/>
      <c r="E85" s="6"/>
      <c r="F85" s="7"/>
      <c r="G85" s="7"/>
      <c r="H85" s="6"/>
      <c r="I85" s="7"/>
      <c r="J85" s="7"/>
      <c r="K85" s="6"/>
      <c r="L85" s="7"/>
      <c r="M85" s="7"/>
      <c r="N85" s="6"/>
      <c r="O85" s="7"/>
      <c r="P85" s="7"/>
      <c r="Q85" s="7"/>
      <c r="R85" s="7"/>
      <c r="S85" s="7"/>
      <c r="T85" s="7"/>
      <c r="U85" s="8"/>
      <c r="V85" s="8"/>
      <c r="W85" s="7"/>
      <c r="X85" s="6"/>
    </row>
    <row r="86" spans="2:24" x14ac:dyDescent="0.2">
      <c r="B86" s="7"/>
      <c r="C86" s="7"/>
      <c r="D86" s="7"/>
      <c r="E86" s="6"/>
      <c r="F86" s="7"/>
      <c r="G86" s="7"/>
      <c r="H86" s="6"/>
      <c r="I86" s="7"/>
      <c r="J86" s="7"/>
      <c r="K86" s="6"/>
      <c r="L86" s="7"/>
      <c r="M86" s="7"/>
      <c r="N86" s="6"/>
      <c r="O86" s="7"/>
      <c r="P86" s="7"/>
      <c r="Q86" s="7"/>
      <c r="R86" s="7"/>
      <c r="S86" s="7"/>
      <c r="T86" s="7"/>
      <c r="U86" s="8"/>
      <c r="V86" s="8"/>
      <c r="W86" s="7"/>
      <c r="X86" s="6"/>
    </row>
    <row r="87" spans="2:24" x14ac:dyDescent="0.2">
      <c r="B87" s="7"/>
      <c r="C87" s="7"/>
      <c r="D87" s="7"/>
      <c r="E87" s="6"/>
      <c r="F87" s="7"/>
      <c r="G87" s="7"/>
      <c r="H87" s="6"/>
      <c r="I87" s="7"/>
      <c r="J87" s="7"/>
      <c r="K87" s="6"/>
      <c r="L87" s="7"/>
      <c r="M87" s="7"/>
      <c r="N87" s="6"/>
      <c r="O87" s="7"/>
      <c r="P87" s="7"/>
      <c r="Q87" s="7"/>
      <c r="R87" s="7"/>
      <c r="S87" s="7"/>
      <c r="T87" s="7"/>
      <c r="U87" s="8"/>
      <c r="V87" s="8"/>
      <c r="W87" s="7"/>
      <c r="X87" s="6"/>
    </row>
    <row r="88" spans="2:24" x14ac:dyDescent="0.2">
      <c r="B88" s="7"/>
      <c r="C88" s="7"/>
      <c r="D88" s="7"/>
      <c r="E88" s="6"/>
      <c r="F88" s="7"/>
      <c r="G88" s="7"/>
      <c r="H88" s="6"/>
      <c r="I88" s="7"/>
      <c r="J88" s="7"/>
      <c r="K88" s="6"/>
      <c r="L88" s="7"/>
      <c r="M88" s="7"/>
      <c r="N88" s="6"/>
      <c r="O88" s="7"/>
      <c r="P88" s="7"/>
      <c r="Q88" s="7"/>
      <c r="R88" s="7"/>
      <c r="S88" s="7"/>
      <c r="T88" s="7"/>
      <c r="U88" s="8"/>
      <c r="V88" s="8"/>
      <c r="W88" s="7"/>
      <c r="X88" s="6"/>
    </row>
    <row r="89" spans="2:24" x14ac:dyDescent="0.2">
      <c r="B89" s="7"/>
      <c r="C89" s="7"/>
      <c r="D89" s="7"/>
      <c r="E89" s="6"/>
      <c r="F89" s="7"/>
      <c r="G89" s="7"/>
      <c r="H89" s="6"/>
      <c r="I89" s="7"/>
      <c r="J89" s="7"/>
      <c r="K89" s="6"/>
      <c r="L89" s="7"/>
      <c r="M89" s="7"/>
      <c r="N89" s="6"/>
      <c r="O89" s="7"/>
      <c r="P89" s="7"/>
      <c r="Q89" s="7"/>
      <c r="R89" s="7"/>
      <c r="S89" s="7"/>
      <c r="T89" s="7"/>
      <c r="U89" s="8"/>
      <c r="V89" s="8"/>
      <c r="W89" s="7"/>
      <c r="X89" s="6"/>
    </row>
    <row r="90" spans="2:24" x14ac:dyDescent="0.2">
      <c r="B90" s="7"/>
      <c r="C90" s="7"/>
      <c r="D90" s="7"/>
      <c r="E90" s="6"/>
      <c r="F90" s="7"/>
      <c r="G90" s="7"/>
      <c r="H90" s="6"/>
      <c r="I90" s="7"/>
      <c r="J90" s="7"/>
      <c r="K90" s="6"/>
      <c r="L90" s="7"/>
      <c r="M90" s="7"/>
      <c r="N90" s="6"/>
      <c r="O90" s="7"/>
      <c r="P90" s="7"/>
      <c r="Q90" s="7"/>
      <c r="R90" s="7"/>
      <c r="S90" s="7"/>
      <c r="T90" s="7"/>
      <c r="U90" s="8"/>
      <c r="V90" s="8"/>
      <c r="W90" s="7"/>
      <c r="X90" s="6"/>
    </row>
    <row r="91" spans="2:24" x14ac:dyDescent="0.2">
      <c r="B91" s="7"/>
      <c r="C91" s="7"/>
      <c r="D91" s="7"/>
      <c r="E91" s="6"/>
      <c r="F91" s="7"/>
      <c r="G91" s="7"/>
      <c r="H91" s="6"/>
      <c r="I91" s="7"/>
      <c r="J91" s="7"/>
      <c r="K91" s="6"/>
      <c r="L91" s="7"/>
      <c r="M91" s="7"/>
      <c r="N91" s="6"/>
      <c r="O91" s="7"/>
      <c r="P91" s="7"/>
      <c r="Q91" s="7"/>
      <c r="R91" s="7"/>
      <c r="S91" s="7"/>
      <c r="T91" s="7"/>
      <c r="U91" s="8"/>
      <c r="V91" s="8"/>
      <c r="W91" s="7"/>
      <c r="X91" s="6"/>
    </row>
    <row r="92" spans="2:24" x14ac:dyDescent="0.2">
      <c r="B92" s="7"/>
      <c r="C92" s="7"/>
      <c r="D92" s="7"/>
      <c r="E92" s="6"/>
      <c r="F92" s="7"/>
      <c r="G92" s="7"/>
      <c r="H92" s="6"/>
      <c r="I92" s="7"/>
      <c r="J92" s="7"/>
      <c r="K92" s="6"/>
      <c r="L92" s="7"/>
      <c r="M92" s="7"/>
      <c r="N92" s="6"/>
      <c r="O92" s="7"/>
      <c r="P92" s="7"/>
      <c r="Q92" s="7"/>
      <c r="R92" s="7"/>
      <c r="S92" s="7"/>
      <c r="T92" s="7"/>
      <c r="U92" s="8"/>
      <c r="V92" s="8"/>
      <c r="W92" s="7"/>
      <c r="X92" s="6"/>
    </row>
    <row r="93" spans="2:24" x14ac:dyDescent="0.2">
      <c r="B93" s="7"/>
      <c r="C93" s="7"/>
      <c r="D93" s="7"/>
      <c r="E93" s="6"/>
      <c r="F93" s="7"/>
      <c r="G93" s="7"/>
      <c r="H93" s="6"/>
      <c r="I93" s="7"/>
      <c r="J93" s="7"/>
      <c r="K93" s="6"/>
      <c r="L93" s="7"/>
      <c r="M93" s="7"/>
      <c r="N93" s="6"/>
      <c r="O93" s="7"/>
      <c r="P93" s="7"/>
      <c r="Q93" s="7"/>
      <c r="R93" s="7"/>
      <c r="S93" s="7"/>
      <c r="T93" s="7"/>
      <c r="U93" s="8"/>
      <c r="V93" s="8"/>
      <c r="W93" s="7"/>
      <c r="X93" s="6"/>
    </row>
    <row r="94" spans="2:24" x14ac:dyDescent="0.2">
      <c r="B94" s="7"/>
      <c r="C94" s="7"/>
      <c r="D94" s="7"/>
      <c r="E94" s="6"/>
      <c r="F94" s="7"/>
      <c r="G94" s="7"/>
      <c r="H94" s="6"/>
      <c r="I94" s="7"/>
      <c r="J94" s="7"/>
      <c r="K94" s="6"/>
      <c r="L94" s="7"/>
      <c r="M94" s="7"/>
      <c r="N94" s="6"/>
      <c r="O94" s="7"/>
      <c r="P94" s="7"/>
      <c r="Q94" s="7"/>
      <c r="R94" s="7"/>
      <c r="S94" s="7"/>
      <c r="T94" s="7"/>
      <c r="U94" s="8"/>
      <c r="V94" s="8"/>
      <c r="W94" s="7"/>
      <c r="X94" s="6"/>
    </row>
    <row r="95" spans="2:24" x14ac:dyDescent="0.2">
      <c r="B95" s="7"/>
      <c r="C95" s="7"/>
      <c r="D95" s="7"/>
      <c r="E95" s="6"/>
      <c r="F95" s="7"/>
      <c r="G95" s="7"/>
      <c r="H95" s="6"/>
      <c r="I95" s="7"/>
      <c r="J95" s="7"/>
      <c r="K95" s="6"/>
      <c r="L95" s="7"/>
      <c r="M95" s="7"/>
      <c r="N95" s="6"/>
      <c r="O95" s="7"/>
      <c r="P95" s="7"/>
      <c r="Q95" s="7"/>
      <c r="R95" s="7"/>
      <c r="S95" s="7"/>
      <c r="T95" s="7"/>
      <c r="U95" s="8"/>
      <c r="V95" s="8"/>
      <c r="W95" s="7"/>
      <c r="X95" s="6"/>
    </row>
    <row r="96" spans="2:24" x14ac:dyDescent="0.2">
      <c r="B96" s="7"/>
      <c r="C96" s="7"/>
      <c r="D96" s="7"/>
      <c r="E96" s="6"/>
      <c r="F96" s="7"/>
      <c r="G96" s="7"/>
      <c r="H96" s="6"/>
      <c r="I96" s="7"/>
      <c r="J96" s="7"/>
      <c r="K96" s="6"/>
      <c r="L96" s="7"/>
      <c r="M96" s="7"/>
      <c r="N96" s="6"/>
      <c r="O96" s="7"/>
      <c r="P96" s="7"/>
      <c r="Q96" s="7"/>
      <c r="R96" s="7"/>
      <c r="S96" s="7"/>
      <c r="T96" s="7"/>
      <c r="U96" s="8"/>
      <c r="V96" s="8"/>
      <c r="W96" s="7"/>
      <c r="X96" s="6"/>
    </row>
    <row r="97" spans="2:24" x14ac:dyDescent="0.2">
      <c r="B97" s="7"/>
      <c r="C97" s="7"/>
      <c r="D97" s="7"/>
      <c r="E97" s="6"/>
      <c r="F97" s="7"/>
      <c r="G97" s="7"/>
      <c r="H97" s="6"/>
      <c r="I97" s="7"/>
      <c r="J97" s="7"/>
      <c r="K97" s="6"/>
      <c r="L97" s="7"/>
      <c r="M97" s="7"/>
      <c r="N97" s="6"/>
      <c r="O97" s="7"/>
      <c r="P97" s="7"/>
      <c r="Q97" s="7"/>
      <c r="R97" s="7"/>
      <c r="S97" s="7"/>
      <c r="T97" s="7"/>
      <c r="U97" s="8"/>
      <c r="V97" s="8"/>
      <c r="W97" s="7"/>
      <c r="X97" s="6"/>
    </row>
    <row r="98" spans="2:24" x14ac:dyDescent="0.2">
      <c r="B98" s="7"/>
      <c r="C98" s="7"/>
      <c r="D98" s="7"/>
      <c r="E98" s="6"/>
      <c r="F98" s="7"/>
      <c r="G98" s="7"/>
      <c r="H98" s="6"/>
      <c r="I98" s="7"/>
      <c r="J98" s="7"/>
      <c r="K98" s="6"/>
      <c r="L98" s="7"/>
      <c r="M98" s="7"/>
      <c r="N98" s="6"/>
      <c r="O98" s="7"/>
      <c r="P98" s="7"/>
      <c r="Q98" s="7"/>
      <c r="R98" s="7"/>
      <c r="S98" s="7"/>
      <c r="T98" s="7"/>
      <c r="U98" s="8"/>
      <c r="V98" s="8"/>
      <c r="W98" s="7"/>
      <c r="X98" s="6"/>
    </row>
    <row r="99" spans="2:24" x14ac:dyDescent="0.2">
      <c r="B99" s="7"/>
      <c r="C99" s="7"/>
      <c r="D99" s="7"/>
      <c r="E99" s="6"/>
      <c r="F99" s="7"/>
      <c r="G99" s="7"/>
      <c r="H99" s="6"/>
      <c r="I99" s="7"/>
      <c r="J99" s="7"/>
      <c r="K99" s="6"/>
      <c r="L99" s="7"/>
      <c r="M99" s="7"/>
      <c r="N99" s="6"/>
      <c r="O99" s="7"/>
      <c r="P99" s="7"/>
      <c r="Q99" s="7"/>
      <c r="R99" s="7"/>
      <c r="S99" s="7"/>
      <c r="T99" s="7"/>
      <c r="U99" s="8"/>
      <c r="V99" s="8"/>
      <c r="W99" s="7"/>
      <c r="X99" s="6"/>
    </row>
    <row r="100" spans="2:24" x14ac:dyDescent="0.2">
      <c r="B100" s="7"/>
      <c r="C100" s="7"/>
      <c r="D100" s="7"/>
      <c r="E100" s="6"/>
      <c r="F100" s="7"/>
      <c r="G100" s="7"/>
      <c r="H100" s="6"/>
      <c r="I100" s="7"/>
      <c r="J100" s="7"/>
      <c r="K100" s="6"/>
      <c r="L100" s="7"/>
      <c r="M100" s="7"/>
      <c r="N100" s="6"/>
      <c r="O100" s="7"/>
      <c r="P100" s="7"/>
      <c r="Q100" s="7"/>
      <c r="R100" s="7"/>
      <c r="S100" s="7"/>
      <c r="T100" s="7"/>
      <c r="U100" s="8"/>
      <c r="V100" s="8"/>
      <c r="W100" s="7"/>
      <c r="X100" s="6"/>
    </row>
    <row r="101" spans="2:24" x14ac:dyDescent="0.2">
      <c r="B101" s="7"/>
      <c r="C101" s="7"/>
      <c r="D101" s="7"/>
      <c r="E101" s="6"/>
      <c r="F101" s="7"/>
      <c r="G101" s="7"/>
      <c r="H101" s="6"/>
      <c r="I101" s="7"/>
      <c r="J101" s="7"/>
      <c r="K101" s="6"/>
      <c r="L101" s="7"/>
      <c r="M101" s="7"/>
      <c r="N101" s="6"/>
      <c r="O101" s="7"/>
      <c r="P101" s="7"/>
      <c r="Q101" s="7"/>
      <c r="R101" s="7"/>
      <c r="S101" s="7"/>
      <c r="T101" s="7"/>
      <c r="U101" s="8"/>
      <c r="V101" s="8"/>
      <c r="W101" s="7"/>
      <c r="X101" s="6"/>
    </row>
    <row r="102" spans="2:24" x14ac:dyDescent="0.2">
      <c r="B102" s="7"/>
      <c r="C102" s="7"/>
      <c r="D102" s="7"/>
      <c r="E102" s="6"/>
      <c r="F102" s="7"/>
      <c r="G102" s="7"/>
      <c r="H102" s="6"/>
      <c r="I102" s="7"/>
      <c r="J102" s="7"/>
      <c r="K102" s="6"/>
      <c r="L102" s="7"/>
      <c r="M102" s="7"/>
      <c r="N102" s="6"/>
      <c r="O102" s="7"/>
      <c r="P102" s="7"/>
      <c r="Q102" s="7"/>
      <c r="R102" s="7"/>
      <c r="S102" s="7"/>
      <c r="T102" s="7"/>
      <c r="U102" s="8"/>
      <c r="V102" s="8"/>
      <c r="W102" s="7"/>
      <c r="X102" s="6"/>
    </row>
    <row r="103" spans="2:24" x14ac:dyDescent="0.2">
      <c r="B103" s="7"/>
      <c r="C103" s="7"/>
      <c r="D103" s="7"/>
      <c r="E103" s="6"/>
      <c r="F103" s="7"/>
      <c r="G103" s="7"/>
      <c r="H103" s="6"/>
      <c r="I103" s="7"/>
      <c r="J103" s="7"/>
      <c r="K103" s="6"/>
      <c r="L103" s="7"/>
      <c r="M103" s="7"/>
      <c r="N103" s="6"/>
      <c r="O103" s="7"/>
      <c r="P103" s="7"/>
      <c r="Q103" s="7"/>
      <c r="R103" s="7"/>
      <c r="S103" s="7"/>
      <c r="T103" s="7"/>
      <c r="U103" s="8"/>
      <c r="V103" s="8"/>
      <c r="W103" s="7"/>
      <c r="X103" s="6"/>
    </row>
    <row r="104" spans="2:24" x14ac:dyDescent="0.2">
      <c r="B104" s="7"/>
      <c r="C104" s="7"/>
      <c r="D104" s="7"/>
      <c r="E104" s="6"/>
      <c r="F104" s="7"/>
      <c r="G104" s="7"/>
      <c r="H104" s="6"/>
      <c r="I104" s="7"/>
      <c r="J104" s="7"/>
      <c r="K104" s="6"/>
      <c r="L104" s="7"/>
      <c r="M104" s="7"/>
      <c r="N104" s="6"/>
      <c r="O104" s="7"/>
      <c r="P104" s="7"/>
      <c r="Q104" s="7"/>
      <c r="R104" s="7"/>
      <c r="S104" s="7"/>
      <c r="T104" s="7"/>
      <c r="U104" s="8"/>
      <c r="V104" s="8"/>
      <c r="W104" s="7"/>
      <c r="X104" s="6"/>
    </row>
    <row r="105" spans="2:24" x14ac:dyDescent="0.2">
      <c r="B105" s="7"/>
      <c r="C105" s="7"/>
      <c r="D105" s="7"/>
      <c r="E105" s="6"/>
      <c r="F105" s="7"/>
      <c r="G105" s="7"/>
      <c r="H105" s="6"/>
      <c r="I105" s="7"/>
      <c r="J105" s="7"/>
      <c r="K105" s="6"/>
      <c r="L105" s="7"/>
      <c r="M105" s="7"/>
      <c r="N105" s="6"/>
      <c r="O105" s="7"/>
      <c r="P105" s="7"/>
      <c r="Q105" s="7"/>
      <c r="R105" s="7"/>
      <c r="S105" s="7"/>
      <c r="T105" s="7"/>
      <c r="U105" s="8"/>
      <c r="V105" s="8"/>
      <c r="W105" s="7"/>
      <c r="X105" s="6"/>
    </row>
    <row r="106" spans="2:24" x14ac:dyDescent="0.2">
      <c r="B106" s="7"/>
      <c r="C106" s="7"/>
      <c r="D106" s="7"/>
      <c r="E106" s="6"/>
      <c r="F106" s="7"/>
      <c r="G106" s="7"/>
      <c r="H106" s="6"/>
      <c r="I106" s="7"/>
      <c r="J106" s="7"/>
      <c r="K106" s="6"/>
      <c r="L106" s="7"/>
      <c r="M106" s="7"/>
      <c r="N106" s="6"/>
      <c r="O106" s="7"/>
      <c r="P106" s="7"/>
      <c r="Q106" s="7"/>
      <c r="R106" s="7"/>
      <c r="S106" s="7"/>
      <c r="T106" s="7"/>
      <c r="U106" s="8"/>
      <c r="V106" s="8"/>
      <c r="W106" s="7"/>
      <c r="X106" s="6"/>
    </row>
    <row r="107" spans="2:24" x14ac:dyDescent="0.2">
      <c r="B107" s="7"/>
      <c r="C107" s="7"/>
      <c r="D107" s="7"/>
      <c r="E107" s="6"/>
      <c r="F107" s="7"/>
      <c r="G107" s="7"/>
      <c r="H107" s="6"/>
      <c r="I107" s="7"/>
      <c r="J107" s="7"/>
      <c r="K107" s="6"/>
      <c r="L107" s="7"/>
      <c r="M107" s="7"/>
      <c r="N107" s="6"/>
      <c r="O107" s="7"/>
      <c r="P107" s="7"/>
      <c r="Q107" s="7"/>
      <c r="R107" s="7"/>
      <c r="S107" s="7"/>
      <c r="T107" s="7"/>
      <c r="U107" s="8"/>
      <c r="V107" s="8"/>
      <c r="W107" s="7"/>
      <c r="X107" s="6"/>
    </row>
    <row r="108" spans="2:24" x14ac:dyDescent="0.2">
      <c r="B108" s="7"/>
      <c r="C108" s="7"/>
      <c r="D108" s="7"/>
      <c r="E108" s="6"/>
      <c r="F108" s="7"/>
      <c r="G108" s="7"/>
      <c r="H108" s="6"/>
      <c r="I108" s="7"/>
      <c r="J108" s="7"/>
      <c r="K108" s="6"/>
      <c r="L108" s="7"/>
      <c r="M108" s="7"/>
      <c r="N108" s="6"/>
      <c r="O108" s="7"/>
      <c r="P108" s="7"/>
      <c r="Q108" s="7"/>
      <c r="R108" s="7"/>
      <c r="S108" s="7"/>
      <c r="T108" s="7"/>
      <c r="U108" s="8"/>
      <c r="V108" s="8"/>
      <c r="W108" s="7"/>
      <c r="X108" s="6"/>
    </row>
    <row r="109" spans="2:24" x14ac:dyDescent="0.2">
      <c r="B109" s="7"/>
      <c r="C109" s="7"/>
      <c r="D109" s="7"/>
      <c r="E109" s="6"/>
      <c r="F109" s="7"/>
      <c r="G109" s="7"/>
      <c r="H109" s="6"/>
      <c r="I109" s="7"/>
      <c r="J109" s="7"/>
      <c r="K109" s="6"/>
      <c r="L109" s="7"/>
      <c r="M109" s="7"/>
      <c r="N109" s="6"/>
      <c r="O109" s="7"/>
      <c r="P109" s="7"/>
      <c r="Q109" s="7"/>
      <c r="R109" s="7"/>
      <c r="S109" s="7"/>
      <c r="T109" s="7"/>
      <c r="U109" s="8"/>
      <c r="V109" s="8"/>
      <c r="W109" s="7"/>
      <c r="X109" s="6"/>
    </row>
    <row r="110" spans="2:24" x14ac:dyDescent="0.2">
      <c r="B110" s="7"/>
      <c r="C110" s="7"/>
      <c r="D110" s="7"/>
      <c r="E110" s="6"/>
      <c r="F110" s="7"/>
      <c r="G110" s="7"/>
      <c r="H110" s="6"/>
      <c r="I110" s="7"/>
      <c r="J110" s="7"/>
      <c r="K110" s="6"/>
      <c r="L110" s="7"/>
      <c r="M110" s="7"/>
      <c r="N110" s="6"/>
      <c r="O110" s="7"/>
      <c r="P110" s="7"/>
      <c r="Q110" s="7"/>
      <c r="R110" s="7"/>
      <c r="S110" s="7"/>
      <c r="T110" s="7"/>
      <c r="U110" s="8"/>
      <c r="V110" s="8"/>
      <c r="W110" s="7"/>
      <c r="X110" s="6"/>
    </row>
    <row r="111" spans="2:24" x14ac:dyDescent="0.2">
      <c r="B111" s="7"/>
      <c r="C111" s="7"/>
      <c r="D111" s="7"/>
      <c r="E111" s="6"/>
      <c r="F111" s="7"/>
      <c r="G111" s="7"/>
      <c r="H111" s="6"/>
      <c r="I111" s="7"/>
      <c r="J111" s="7"/>
      <c r="K111" s="6"/>
      <c r="L111" s="7"/>
      <c r="M111" s="7"/>
      <c r="N111" s="6"/>
      <c r="O111" s="7"/>
      <c r="P111" s="7"/>
      <c r="Q111" s="7"/>
      <c r="R111" s="7"/>
      <c r="S111" s="7"/>
      <c r="T111" s="7"/>
      <c r="U111" s="8"/>
      <c r="V111" s="8"/>
      <c r="W111" s="7"/>
      <c r="X111" s="6"/>
    </row>
    <row r="112" spans="2:24" x14ac:dyDescent="0.2">
      <c r="B112" s="7"/>
      <c r="C112" s="7"/>
      <c r="D112" s="7"/>
      <c r="E112" s="6"/>
      <c r="F112" s="7"/>
      <c r="G112" s="7"/>
      <c r="H112" s="6"/>
      <c r="I112" s="7"/>
      <c r="J112" s="7"/>
      <c r="K112" s="6"/>
      <c r="L112" s="7"/>
      <c r="M112" s="7"/>
      <c r="N112" s="6"/>
      <c r="O112" s="7"/>
      <c r="P112" s="7"/>
      <c r="Q112" s="7"/>
      <c r="R112" s="7"/>
      <c r="S112" s="7"/>
      <c r="T112" s="7"/>
      <c r="U112" s="8"/>
      <c r="V112" s="8"/>
      <c r="W112" s="7"/>
      <c r="X112" s="6"/>
    </row>
    <row r="113" spans="2:24" x14ac:dyDescent="0.2">
      <c r="B113" s="7"/>
      <c r="C113" s="7"/>
      <c r="D113" s="7"/>
      <c r="E113" s="6"/>
      <c r="F113" s="7"/>
      <c r="G113" s="7"/>
      <c r="H113" s="6"/>
      <c r="I113" s="7"/>
      <c r="J113" s="7"/>
      <c r="K113" s="6"/>
      <c r="L113" s="7"/>
      <c r="M113" s="7"/>
      <c r="N113" s="6"/>
      <c r="O113" s="7"/>
      <c r="P113" s="7"/>
      <c r="Q113" s="7"/>
      <c r="R113" s="7"/>
      <c r="S113" s="7"/>
      <c r="T113" s="7"/>
      <c r="U113" s="8"/>
      <c r="V113" s="8"/>
      <c r="W113" s="7"/>
      <c r="X113" s="6"/>
    </row>
  </sheetData>
  <mergeCells count="6">
    <mergeCell ref="R1:T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00B050"/>
  </sheetPr>
  <dimension ref="A1:G17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4.1640625" bestFit="1" customWidth="1"/>
    <col min="2" max="2" width="15.33203125" bestFit="1" customWidth="1"/>
    <col min="3" max="3" width="11.6640625" bestFit="1" customWidth="1"/>
    <col min="4" max="4" width="16.33203125" bestFit="1" customWidth="1"/>
    <col min="5" max="5" width="18" customWidth="1"/>
    <col min="6" max="6" width="9.5" bestFit="1" customWidth="1"/>
    <col min="7" max="7" width="10.6640625" bestFit="1" customWidth="1"/>
  </cols>
  <sheetData>
    <row r="1" spans="1:7" s="61" customFormat="1" ht="17" thickBot="1" x14ac:dyDescent="0.25">
      <c r="A1" s="60" t="s">
        <v>145</v>
      </c>
    </row>
    <row r="2" spans="1:7" x14ac:dyDescent="0.2">
      <c r="A2" s="32" t="s">
        <v>16</v>
      </c>
      <c r="B2" s="33" t="s">
        <v>17</v>
      </c>
      <c r="C2" s="33" t="s">
        <v>21</v>
      </c>
      <c r="D2" s="33" t="s">
        <v>18</v>
      </c>
      <c r="E2" s="33" t="s">
        <v>22</v>
      </c>
      <c r="F2" s="37" t="s">
        <v>19</v>
      </c>
      <c r="G2" s="37" t="s">
        <v>147</v>
      </c>
    </row>
    <row r="3" spans="1:7" x14ac:dyDescent="0.2">
      <c r="A3" s="34" t="s">
        <v>23</v>
      </c>
      <c r="B3" s="46">
        <f>'Strategy 1 - phd'!X34</f>
        <v>24207872.386953447</v>
      </c>
      <c r="C3" s="38">
        <f>'Strategy 1 - phd'!Y34</f>
        <v>13464.239392211461</v>
      </c>
      <c r="D3" s="62" t="s">
        <v>20</v>
      </c>
      <c r="E3" s="62" t="s">
        <v>20</v>
      </c>
      <c r="F3" s="63" t="s">
        <v>20</v>
      </c>
      <c r="G3" s="63"/>
    </row>
    <row r="4" spans="1:7" x14ac:dyDescent="0.2">
      <c r="A4" s="56" t="s">
        <v>143</v>
      </c>
      <c r="B4" s="57">
        <f>'Strategy 3 - phd'!X34</f>
        <v>48307341.85930492</v>
      </c>
      <c r="C4" s="58">
        <f>'Strategy 3 - phd'!Y34</f>
        <v>13636.219928694958</v>
      </c>
      <c r="D4" s="57">
        <f>B4-B3</f>
        <v>24099469.472351473</v>
      </c>
      <c r="E4" s="58">
        <f>C4-C3</f>
        <v>171.98053648349742</v>
      </c>
      <c r="F4" s="59">
        <f>IFERROR(D4/E4, "n/a")</f>
        <v>140129.05160732515</v>
      </c>
      <c r="G4" s="59"/>
    </row>
    <row r="5" spans="1:7" x14ac:dyDescent="0.2">
      <c r="A5" s="56" t="s">
        <v>142</v>
      </c>
      <c r="B5" s="57">
        <f>'Strategy 2 - phd'!X34</f>
        <v>63355853.597738579</v>
      </c>
      <c r="C5" s="58">
        <f>'Strategy 2 - phd'!Y34</f>
        <v>13941.362638497525</v>
      </c>
      <c r="D5" s="57">
        <f>B5-B4</f>
        <v>15048511.738433659</v>
      </c>
      <c r="E5" s="58">
        <f>C5-C4</f>
        <v>305.14270980256697</v>
      </c>
      <c r="F5" s="59">
        <f>IFERROR(D5/E5, "n/a")</f>
        <v>49316.307599714004</v>
      </c>
      <c r="G5" s="59"/>
    </row>
    <row r="6" spans="1:7" ht="16" thickBot="1" x14ac:dyDescent="0.25">
      <c r="A6" s="35" t="s">
        <v>144</v>
      </c>
      <c r="B6" s="47">
        <f>'Strategy 4 - phd'!X34</f>
        <v>70248924.511263728</v>
      </c>
      <c r="C6" s="36">
        <f>'Strategy 4 - phd'!Y34</f>
        <v>13773.464772066656</v>
      </c>
      <c r="D6" s="47">
        <f>B6-B5</f>
        <v>6893070.9135251492</v>
      </c>
      <c r="E6" s="36">
        <f xml:space="preserve"> C6-C5</f>
        <v>-167.89786643086882</v>
      </c>
      <c r="F6" s="64">
        <f>IFERROR(D6/E6, "n/a")</f>
        <v>-41055.142986961895</v>
      </c>
      <c r="G6" s="64" t="s">
        <v>148</v>
      </c>
    </row>
    <row r="8" spans="1:7" s="61" customFormat="1" ht="17" thickBot="1" x14ac:dyDescent="0.25">
      <c r="A8" s="60" t="s">
        <v>146</v>
      </c>
    </row>
    <row r="9" spans="1:7" x14ac:dyDescent="0.2">
      <c r="A9" s="32" t="s">
        <v>16</v>
      </c>
      <c r="B9" s="33" t="s">
        <v>17</v>
      </c>
      <c r="C9" s="33" t="s">
        <v>21</v>
      </c>
      <c r="D9" s="33" t="s">
        <v>18</v>
      </c>
      <c r="E9" s="33" t="s">
        <v>22</v>
      </c>
      <c r="F9" s="37" t="s">
        <v>19</v>
      </c>
      <c r="G9" s="37" t="s">
        <v>147</v>
      </c>
    </row>
    <row r="10" spans="1:7" x14ac:dyDescent="0.2">
      <c r="A10" s="34" t="s">
        <v>23</v>
      </c>
      <c r="B10" s="46">
        <f>'Strategy 1 - phd'!X34</f>
        <v>24207872.386953447</v>
      </c>
      <c r="C10" s="38">
        <f>'Strategy 1 - phd'!Y34</f>
        <v>13464.239392211461</v>
      </c>
      <c r="D10" s="62" t="s">
        <v>20</v>
      </c>
      <c r="E10" s="62" t="s">
        <v>20</v>
      </c>
      <c r="F10" s="63" t="s">
        <v>20</v>
      </c>
      <c r="G10" s="63"/>
    </row>
    <row r="11" spans="1:7" x14ac:dyDescent="0.2">
      <c r="A11" s="56" t="s">
        <v>143</v>
      </c>
      <c r="B11" s="57">
        <f>'Strategy 3 - phd'!X34</f>
        <v>48307341.85930492</v>
      </c>
      <c r="C11" s="58">
        <f>'Strategy 3 - phd'!Y34</f>
        <v>13636.219928694958</v>
      </c>
      <c r="D11" s="57">
        <f>B11-B10</f>
        <v>24099469.472351473</v>
      </c>
      <c r="E11" s="58">
        <f>C11-C10</f>
        <v>171.98053648349742</v>
      </c>
      <c r="F11" s="59">
        <f>D11/E11</f>
        <v>140129.05160732515</v>
      </c>
      <c r="G11" s="59" t="s">
        <v>150</v>
      </c>
    </row>
    <row r="12" spans="1:7" ht="16" thickBot="1" x14ac:dyDescent="0.25">
      <c r="A12" s="35" t="s">
        <v>142</v>
      </c>
      <c r="B12" s="47">
        <f>'Strategy 2 - phd'!X34</f>
        <v>63355853.597738579</v>
      </c>
      <c r="C12" s="36">
        <f>'Strategy 2 - phd'!Y34</f>
        <v>13941.362638497525</v>
      </c>
      <c r="D12" s="47">
        <f>B12-B11</f>
        <v>15048511.738433659</v>
      </c>
      <c r="E12" s="65">
        <f>C12-C11</f>
        <v>305.14270980256697</v>
      </c>
      <c r="F12" s="64">
        <f>D12/E12</f>
        <v>49316.307599714004</v>
      </c>
      <c r="G12" s="64"/>
    </row>
    <row r="14" spans="1:7" s="61" customFormat="1" ht="17" thickBot="1" x14ac:dyDescent="0.25">
      <c r="A14" s="60" t="s">
        <v>149</v>
      </c>
    </row>
    <row r="15" spans="1:7" x14ac:dyDescent="0.2">
      <c r="A15" s="32" t="s">
        <v>16</v>
      </c>
      <c r="B15" s="33" t="s">
        <v>17</v>
      </c>
      <c r="C15" s="33" t="s">
        <v>21</v>
      </c>
      <c r="D15" s="33" t="s">
        <v>18</v>
      </c>
      <c r="E15" s="33" t="s">
        <v>22</v>
      </c>
      <c r="F15" s="37" t="s">
        <v>19</v>
      </c>
      <c r="G15" s="37" t="s">
        <v>147</v>
      </c>
    </row>
    <row r="16" spans="1:7" x14ac:dyDescent="0.2">
      <c r="A16" s="34" t="s">
        <v>23</v>
      </c>
      <c r="B16" s="46">
        <f>'Strategy 1 - phd'!X34</f>
        <v>24207872.386953447</v>
      </c>
      <c r="C16" s="38">
        <f>'Strategy 1 - phd'!Y34</f>
        <v>13464.239392211461</v>
      </c>
      <c r="D16" s="62" t="s">
        <v>20</v>
      </c>
      <c r="E16" s="62" t="s">
        <v>20</v>
      </c>
      <c r="F16" s="63" t="s">
        <v>20</v>
      </c>
      <c r="G16" s="63"/>
    </row>
    <row r="17" spans="1:7" ht="16" thickBot="1" x14ac:dyDescent="0.25">
      <c r="A17" s="35" t="s">
        <v>142</v>
      </c>
      <c r="B17" s="47">
        <f>'Strategy 2 - phd'!X34</f>
        <v>63355853.597738579</v>
      </c>
      <c r="C17" s="36">
        <f>'Strategy 2 - phd'!Y34</f>
        <v>13941.362638497525</v>
      </c>
      <c r="D17" s="47">
        <f>B17-B16</f>
        <v>39147981.210785136</v>
      </c>
      <c r="E17" s="65">
        <f>C17-C16</f>
        <v>477.12324628606439</v>
      </c>
      <c r="F17" s="64">
        <f>D17/E17</f>
        <v>82050.039513927899</v>
      </c>
      <c r="G17" s="64"/>
    </row>
  </sheetData>
  <sortState xmlns:xlrd2="http://schemas.microsoft.com/office/spreadsheetml/2017/richdata2" ref="A3:G6">
    <sortCondition ref="B3:B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DFB0-F258-E345-AE6E-2999F883A0BF}">
  <sheetPr>
    <tabColor rgb="FF00B050"/>
  </sheetPr>
  <dimension ref="A1:O9"/>
  <sheetViews>
    <sheetView zoomScale="125" zoomScaleNormal="228" workbookViewId="0">
      <selection activeCell="C5" sqref="C5"/>
    </sheetView>
  </sheetViews>
  <sheetFormatPr baseColWidth="10" defaultRowHeight="16" x14ac:dyDescent="0.2"/>
  <cols>
    <col min="1" max="2" width="10.83203125" style="74"/>
    <col min="3" max="3" width="16.83203125" style="74" bestFit="1" customWidth="1"/>
    <col min="4" max="4" width="12.1640625" style="74" bestFit="1" customWidth="1"/>
    <col min="5" max="5" width="15.83203125" style="74" customWidth="1"/>
    <col min="6" max="7" width="10.83203125" style="74" customWidth="1"/>
    <col min="8" max="12" width="10.83203125" style="74"/>
    <col min="13" max="14" width="15" style="74" bestFit="1" customWidth="1"/>
    <col min="15" max="15" width="13" style="74" bestFit="1" customWidth="1"/>
    <col min="16" max="16384" width="10.83203125" style="74"/>
  </cols>
  <sheetData>
    <row r="1" spans="1:15" x14ac:dyDescent="0.2">
      <c r="A1" s="73"/>
      <c r="B1"/>
      <c r="C1"/>
      <c r="D1"/>
      <c r="E1"/>
    </row>
    <row r="2" spans="1:15" x14ac:dyDescent="0.2">
      <c r="A2"/>
      <c r="B2" s="61"/>
      <c r="C2" s="61"/>
      <c r="D2" s="61" t="s">
        <v>151</v>
      </c>
      <c r="E2" s="61" t="s">
        <v>152</v>
      </c>
      <c r="F2" s="78"/>
      <c r="G2" s="74" t="s">
        <v>158</v>
      </c>
      <c r="L2" s="74" t="s">
        <v>157</v>
      </c>
    </row>
    <row r="3" spans="1:15" ht="17" thickBot="1" x14ac:dyDescent="0.25">
      <c r="A3"/>
      <c r="B3" s="61" t="s">
        <v>45</v>
      </c>
      <c r="C3" s="66"/>
      <c r="D3" s="72">
        <f>Parameters!D16</f>
        <v>0.35</v>
      </c>
      <c r="E3" s="72">
        <f>Parameters!E16</f>
        <v>0.5</v>
      </c>
      <c r="H3" s="74" t="s">
        <v>151</v>
      </c>
      <c r="I3" s="74" t="s">
        <v>152</v>
      </c>
      <c r="J3" s="74" t="s">
        <v>156</v>
      </c>
      <c r="M3" s="74" t="s">
        <v>151</v>
      </c>
      <c r="N3" s="74" t="s">
        <v>152</v>
      </c>
      <c r="O3" s="74" t="s">
        <v>156</v>
      </c>
    </row>
    <row r="4" spans="1:15" x14ac:dyDescent="0.2">
      <c r="A4"/>
      <c r="B4" s="61" t="s">
        <v>19</v>
      </c>
      <c r="C4" s="67">
        <f>('Strategy 2 - phd'!X34-'Strategy 1 - phd'!X34)/('Strategy 2 - phd'!Y34-'Strategy 1 - Status quo'!Y34)</f>
        <v>2808.0455423117919</v>
      </c>
      <c r="D4" s="68">
        <v>75242.790515618355</v>
      </c>
      <c r="E4" s="69">
        <v>74864.766072869606</v>
      </c>
      <c r="G4" s="74" t="str">
        <f>B3</f>
        <v>pStage3Death</v>
      </c>
      <c r="H4" s="79">
        <f>D4</f>
        <v>75242.790515618355</v>
      </c>
      <c r="I4" s="79">
        <f>-E4</f>
        <v>-74864.766072869606</v>
      </c>
      <c r="J4" s="79">
        <f>ABS(-I4-H4)</f>
        <v>378.0244427487487</v>
      </c>
      <c r="L4" s="74" t="str">
        <f>B3</f>
        <v>pStage3Death</v>
      </c>
      <c r="M4" s="79">
        <f>D5</f>
        <v>6259327.7429329008</v>
      </c>
      <c r="N4" s="79">
        <f>-E5</f>
        <v>-7293816.2788028866</v>
      </c>
      <c r="O4" s="79">
        <f>ABS(-N4-M4)</f>
        <v>1034488.5358699858</v>
      </c>
    </row>
    <row r="5" spans="1:15" ht="17" thickBot="1" x14ac:dyDescent="0.25">
      <c r="A5"/>
      <c r="B5" s="61" t="s">
        <v>153</v>
      </c>
      <c r="C5" s="67">
        <f>'Strategy 2 - Treatment A'!X34*wtp-'Strategy 2 - Treatment A'!W34</f>
        <v>5058725.9239503294</v>
      </c>
      <c r="D5" s="70">
        <v>6259327.7429329008</v>
      </c>
      <c r="E5" s="71">
        <v>7293816.2788028866</v>
      </c>
      <c r="G5" s="74" t="str">
        <f>B7</f>
        <v>cTrtA</v>
      </c>
      <c r="H5" s="79">
        <f>D8</f>
        <v>57410.500160241951</v>
      </c>
      <c r="I5" s="79">
        <f>-E8</f>
        <v>-79614.840828655011</v>
      </c>
      <c r="J5" s="79">
        <f>ABS(-I5-H5)</f>
        <v>22204.34066841306</v>
      </c>
      <c r="L5" s="74" t="str">
        <f>B7</f>
        <v>cTrtA</v>
      </c>
      <c r="M5" s="79">
        <f>D9</f>
        <v>18085488.708717667</v>
      </c>
      <c r="N5" s="79">
        <f>-E9</f>
        <v>-3538524.9212962985</v>
      </c>
      <c r="O5" s="79">
        <f>ABS(-N5-M5)</f>
        <v>14546963.787421368</v>
      </c>
    </row>
    <row r="6" spans="1:15" x14ac:dyDescent="0.2">
      <c r="B6" s="1"/>
      <c r="C6" s="1"/>
      <c r="D6" s="1"/>
      <c r="E6" s="1"/>
    </row>
    <row r="7" spans="1:15" x14ac:dyDescent="0.2">
      <c r="B7" s="74" t="s">
        <v>101</v>
      </c>
      <c r="C7" s="77"/>
      <c r="D7" s="164">
        <f>Parameters!D52</f>
        <v>8000</v>
      </c>
      <c r="E7" s="164">
        <f>Parameters!E52</f>
        <v>10500</v>
      </c>
    </row>
    <row r="8" spans="1:15" x14ac:dyDescent="0.2">
      <c r="B8" s="74" t="s">
        <v>19</v>
      </c>
      <c r="C8" s="67">
        <f>('Strategy 2 - Treatment A'!W34-'Strategy 1 - Status quo'!W34)/('Strategy 2 - Treatment A'!X34-'Strategy 1 - Status quo'!X34)</f>
        <v>75173.972694971962</v>
      </c>
      <c r="D8" s="162">
        <v>57410.500160241951</v>
      </c>
      <c r="E8" s="163">
        <v>79614.840828655011</v>
      </c>
    </row>
    <row r="9" spans="1:15" ht="17" thickBot="1" x14ac:dyDescent="0.25">
      <c r="B9" s="74" t="s">
        <v>153</v>
      </c>
      <c r="C9" s="67">
        <f>'Strategy 2 - Treatment A'!X34*wtp-'Strategy 2 - Treatment A'!W34</f>
        <v>5058725.9239503294</v>
      </c>
      <c r="D9" s="76">
        <v>18085488.708717667</v>
      </c>
      <c r="E9" s="75">
        <v>3538524.9212962985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18B7-873E-7E42-994B-8627E8575A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75E0-E3C9-FA45-B5DA-8E8733AF06A0}">
  <dimension ref="B1:BH63"/>
  <sheetViews>
    <sheetView topLeftCell="E1" workbookViewId="0">
      <selection activeCell="W69" sqref="W69"/>
    </sheetView>
  </sheetViews>
  <sheetFormatPr baseColWidth="10" defaultRowHeight="15" x14ac:dyDescent="0.2"/>
  <sheetData>
    <row r="1" spans="2:60" ht="16" thickBot="1" x14ac:dyDescent="0.25"/>
    <row r="2" spans="2:60" ht="17" thickBot="1" x14ac:dyDescent="0.25">
      <c r="B2" s="61"/>
      <c r="C2" s="232" t="s">
        <v>159</v>
      </c>
      <c r="D2" s="233"/>
      <c r="E2" s="233"/>
      <c r="F2" s="233"/>
      <c r="G2" s="233"/>
      <c r="H2" s="233"/>
      <c r="I2" s="234"/>
      <c r="J2" s="83"/>
      <c r="K2" s="84" t="s">
        <v>160</v>
      </c>
      <c r="L2" s="85"/>
      <c r="M2" s="85"/>
      <c r="N2" s="85"/>
      <c r="O2" s="85"/>
      <c r="P2" s="85"/>
      <c r="Q2" s="86"/>
      <c r="R2" s="83"/>
      <c r="S2" s="84" t="s">
        <v>161</v>
      </c>
      <c r="T2" s="85"/>
      <c r="U2" s="85"/>
      <c r="V2" s="85"/>
      <c r="W2" s="85"/>
      <c r="X2" s="85"/>
      <c r="Y2" s="86"/>
      <c r="Z2" s="83"/>
      <c r="AA2" s="61"/>
      <c r="AB2" s="61"/>
      <c r="AC2" s="61"/>
      <c r="AD2" s="61"/>
      <c r="AE2" s="61"/>
      <c r="AF2" s="61"/>
      <c r="AG2" s="61"/>
      <c r="AH2" s="232" t="s">
        <v>162</v>
      </c>
      <c r="AI2" s="233"/>
      <c r="AJ2" s="233"/>
      <c r="AK2" s="233"/>
      <c r="AL2" s="233"/>
      <c r="AM2" s="233"/>
      <c r="AN2" s="233"/>
      <c r="AO2" s="233"/>
      <c r="AP2" s="233"/>
      <c r="AQ2" s="233"/>
      <c r="AR2" s="233"/>
      <c r="AS2" s="233"/>
      <c r="AT2" s="233"/>
      <c r="AU2" s="233"/>
      <c r="AV2" s="233"/>
      <c r="AW2" s="233"/>
      <c r="AX2" s="233"/>
      <c r="AY2" s="233"/>
      <c r="AZ2" s="233"/>
      <c r="BA2" s="233"/>
      <c r="BB2" s="233"/>
      <c r="BC2" s="233"/>
      <c r="BD2" s="233"/>
      <c r="BE2" s="233"/>
      <c r="BF2" s="233"/>
      <c r="BG2" s="233"/>
      <c r="BH2" s="234"/>
    </row>
    <row r="3" spans="2:60" ht="16" x14ac:dyDescent="0.2">
      <c r="B3" s="61"/>
      <c r="C3" s="235" t="s">
        <v>163</v>
      </c>
      <c r="D3" s="236"/>
      <c r="E3" s="236"/>
      <c r="F3" s="236"/>
      <c r="G3" s="236"/>
      <c r="H3" s="236"/>
      <c r="I3" s="237"/>
      <c r="J3" s="83"/>
      <c r="K3" s="87"/>
      <c r="L3" s="230" t="s">
        <v>164</v>
      </c>
      <c r="M3" s="230"/>
      <c r="N3" s="230"/>
      <c r="O3" s="230"/>
      <c r="P3" s="230"/>
      <c r="Q3" s="231"/>
      <c r="R3" s="83"/>
      <c r="S3" s="87"/>
      <c r="T3" s="230" t="s">
        <v>164</v>
      </c>
      <c r="U3" s="230"/>
      <c r="V3" s="230"/>
      <c r="W3" s="230"/>
      <c r="X3" s="230"/>
      <c r="Y3" s="231"/>
      <c r="Z3" s="83"/>
      <c r="AA3" s="88" t="s">
        <v>165</v>
      </c>
      <c r="AB3" s="89"/>
      <c r="AC3" s="89"/>
      <c r="AD3" s="89"/>
      <c r="AE3" s="89"/>
      <c r="AF3" s="89"/>
      <c r="AG3" s="61"/>
      <c r="AH3" s="90" t="s">
        <v>166</v>
      </c>
      <c r="AI3" s="88"/>
      <c r="AJ3" s="88"/>
      <c r="AK3" s="88"/>
      <c r="AL3" s="89"/>
      <c r="AM3" s="89"/>
      <c r="AN3" s="61"/>
      <c r="AO3" s="88" t="s">
        <v>167</v>
      </c>
      <c r="AP3" s="88"/>
      <c r="AQ3" s="88"/>
      <c r="AR3" s="88"/>
      <c r="AS3" s="89"/>
      <c r="AT3" s="89"/>
      <c r="AU3" s="61"/>
      <c r="AV3" s="88" t="s">
        <v>168</v>
      </c>
      <c r="AW3" s="88"/>
      <c r="AX3" s="88"/>
      <c r="AY3" s="88"/>
      <c r="AZ3" s="89"/>
      <c r="BA3" s="89"/>
      <c r="BB3" s="61"/>
      <c r="BC3" s="88" t="s">
        <v>169</v>
      </c>
      <c r="BD3" s="88"/>
      <c r="BE3" s="88"/>
      <c r="BF3" s="88"/>
      <c r="BG3" s="89"/>
      <c r="BH3" s="91"/>
    </row>
    <row r="4" spans="2:60" ht="17" x14ac:dyDescent="0.2">
      <c r="B4" s="92" t="s">
        <v>170</v>
      </c>
      <c r="C4" s="93" t="s">
        <v>171</v>
      </c>
      <c r="D4" s="94" t="s">
        <v>7</v>
      </c>
      <c r="E4" s="123" t="s">
        <v>8</v>
      </c>
      <c r="F4" s="123" t="s">
        <v>9</v>
      </c>
      <c r="G4" s="123" t="s">
        <v>10</v>
      </c>
      <c r="H4" s="123" t="s">
        <v>11</v>
      </c>
      <c r="I4" s="95" t="s">
        <v>12</v>
      </c>
      <c r="J4" s="96"/>
      <c r="K4" s="97"/>
      <c r="L4" s="94" t="s">
        <v>7</v>
      </c>
      <c r="M4" s="123" t="s">
        <v>8</v>
      </c>
      <c r="N4" s="123" t="s">
        <v>9</v>
      </c>
      <c r="O4" s="123" t="s">
        <v>10</v>
      </c>
      <c r="P4" s="123" t="s">
        <v>11</v>
      </c>
      <c r="Q4" s="95" t="s">
        <v>12</v>
      </c>
      <c r="R4" s="96"/>
      <c r="S4" s="97"/>
      <c r="T4" s="94" t="s">
        <v>7</v>
      </c>
      <c r="U4" s="123" t="s">
        <v>8</v>
      </c>
      <c r="V4" s="123" t="s">
        <v>9</v>
      </c>
      <c r="W4" s="123" t="s">
        <v>10</v>
      </c>
      <c r="X4" s="123" t="s">
        <v>11</v>
      </c>
      <c r="Y4" s="95" t="s">
        <v>12</v>
      </c>
      <c r="Z4" s="96"/>
      <c r="AA4" s="98"/>
      <c r="AB4" s="61"/>
      <c r="AC4" s="61"/>
      <c r="AD4" s="61"/>
      <c r="AE4" s="61"/>
      <c r="AF4" s="61"/>
      <c r="AG4" s="61"/>
      <c r="AH4" s="99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100"/>
    </row>
    <row r="5" spans="2:60" ht="16" customHeight="1" x14ac:dyDescent="0.2">
      <c r="B5" s="101" t="s">
        <v>23</v>
      </c>
      <c r="C5" s="102" t="s">
        <v>7</v>
      </c>
      <c r="D5" s="103">
        <f>-(rHealthyStage1+rHealthyStage2+rHealthyStage3)</f>
        <v>-8.3381608939051138E-2</v>
      </c>
      <c r="E5" s="103">
        <f>rHealthyStage1</f>
        <v>5.2113505586906958E-2</v>
      </c>
      <c r="F5" s="103">
        <f>rHealthyStage2</f>
        <v>2.0845402234762785E-2</v>
      </c>
      <c r="G5" s="103">
        <f>rHealthyStage3</f>
        <v>1.0422701117381392E-2</v>
      </c>
      <c r="H5" s="104">
        <v>0</v>
      </c>
      <c r="I5" s="105">
        <v>0</v>
      </c>
      <c r="J5" s="106"/>
      <c r="K5" s="107" t="s">
        <v>182</v>
      </c>
      <c r="L5" s="108">
        <f>1-M5-N5-O5</f>
        <v>0.91999999999999993</v>
      </c>
      <c r="M5" s="108">
        <f>(rHealthyStage1/(rHealthyStage1+rHealthyStage2+rHealthyStage3))*(1-EXP(-(rHealthyStage1+rHealthyStage2+rHealthyStage3)))</f>
        <v>5.0000000000000044E-2</v>
      </c>
      <c r="N5" s="108">
        <f>(rHealthyStage2/(rHealthyStage1+rHealthyStage2+rHealthyStage3))*(1-EXP(-(rHealthyStage1+rHealthyStage2+rHealthyStage3)))</f>
        <v>2.0000000000000018E-2</v>
      </c>
      <c r="O5" s="108">
        <f>(rHealthyStage3/(rHealthyStage1+rHealthyStage2+rHealthyStage3))*(1-EXP(-(rHealthyStage1+rHealthyStage2+rHealthyStage3)))</f>
        <v>1.0000000000000009E-2</v>
      </c>
      <c r="P5" s="108">
        <v>0</v>
      </c>
      <c r="Q5" s="109">
        <v>0</v>
      </c>
      <c r="R5" s="106"/>
      <c r="S5" s="107" t="s">
        <v>183</v>
      </c>
      <c r="T5" s="110">
        <f>AA5+AH5+(1/FACT(2))*AO5 + (1/FACT(3))*AV5+(1/FACT(4))*BC5</f>
        <v>0.92000003312566181</v>
      </c>
      <c r="U5" s="110">
        <f t="shared" ref="U5:Y5" si="0">AB5+AI5+(1/FACT(2))*AP5 + (1/FACT(3))*AW5+(1/FACT(4))*BD5</f>
        <v>4.1304256399035844E-2</v>
      </c>
      <c r="V5" s="110">
        <f t="shared" si="0"/>
        <v>1.8347402401760853E-2</v>
      </c>
      <c r="W5" s="110">
        <f t="shared" si="0"/>
        <v>8.639796755089935E-3</v>
      </c>
      <c r="X5" s="110">
        <f t="shared" si="0"/>
        <v>8.8342077466245211E-3</v>
      </c>
      <c r="Y5" s="111">
        <f t="shared" si="0"/>
        <v>2.8743035718271285E-3</v>
      </c>
      <c r="Z5" s="106"/>
      <c r="AA5" s="112">
        <v>1</v>
      </c>
      <c r="AB5" s="112">
        <v>0</v>
      </c>
      <c r="AC5" s="112">
        <v>0</v>
      </c>
      <c r="AD5" s="112">
        <v>0</v>
      </c>
      <c r="AE5" s="112">
        <v>0</v>
      </c>
      <c r="AF5" s="112">
        <v>0</v>
      </c>
      <c r="AG5" s="61"/>
      <c r="AH5" s="126">
        <f>D5</f>
        <v>-8.3381608939051138E-2</v>
      </c>
      <c r="AI5" s="113">
        <f t="shared" ref="AI5:AM5" si="1">E5</f>
        <v>5.2113505586906958E-2</v>
      </c>
      <c r="AJ5" s="124">
        <f t="shared" si="1"/>
        <v>2.0845402234762785E-2</v>
      </c>
      <c r="AK5" s="124">
        <f t="shared" si="1"/>
        <v>1.0422701117381392E-2</v>
      </c>
      <c r="AL5" s="113">
        <f t="shared" si="1"/>
        <v>0</v>
      </c>
      <c r="AM5" s="113">
        <f t="shared" si="1"/>
        <v>0</v>
      </c>
      <c r="AN5" s="125"/>
      <c r="AO5" s="113" cm="1">
        <f t="array" ref="AO5:AT10">MMULT(AH5:AM10,AH5:AM10)</f>
        <v>6.9524927092648528E-3</v>
      </c>
      <c r="AP5" s="113">
        <v>-2.5463870147915513E-2</v>
      </c>
      <c r="AQ5" s="113">
        <v>-5.2498685002006461E-3</v>
      </c>
      <c r="AR5" s="113">
        <v>-4.1003903822803816E-3</v>
      </c>
      <c r="AS5" s="113">
        <v>2.1359617017132973E-2</v>
      </c>
      <c r="AT5" s="113">
        <v>6.5020193039987129E-3</v>
      </c>
      <c r="AU5" s="125"/>
      <c r="AV5" s="113" cm="1">
        <f t="array" ref="AV5:BA10">MMULT(_xlfn.ANCHORARRAY(AO5),D5:I10)</f>
        <v>-5.797100282355261E-4</v>
      </c>
      <c r="AW5" s="113">
        <v>1.3310726147457395E-2</v>
      </c>
      <c r="AX5" s="113">
        <v>5.654771322787176E-4</v>
      </c>
      <c r="AY5" s="113">
        <v>1.9089750294630455E-3</v>
      </c>
      <c r="AZ5" s="113">
        <v>-1.2647511651558144E-2</v>
      </c>
      <c r="BA5" s="113">
        <v>-2.5579566294054866E-3</v>
      </c>
      <c r="BB5" s="125"/>
      <c r="BC5" s="113" cm="1">
        <f t="array" ref="BC5:BH10">MMULT(_xlfn.ANCHORARRAY(AV5),D5:I10)</f>
        <v>4.8337154872380933E-5</v>
      </c>
      <c r="BD5" s="113">
        <v>-7.0984433237502153E-3</v>
      </c>
      <c r="BE5" s="113">
        <v>7.8451748124651376E-4</v>
      </c>
      <c r="BF5" s="113">
        <v>-1.2209202254825663E-3</v>
      </c>
      <c r="BG5" s="113">
        <v>6.2956283196254018E-3</v>
      </c>
      <c r="BH5" s="114">
        <v>1.1908805934884837E-3</v>
      </c>
    </row>
    <row r="6" spans="2:60" x14ac:dyDescent="0.2">
      <c r="B6" s="101" t="s">
        <v>23</v>
      </c>
      <c r="C6" s="102" t="s">
        <v>8</v>
      </c>
      <c r="D6" s="104">
        <v>0</v>
      </c>
      <c r="E6" s="103">
        <f>-(rStage1Remission+rStage1Stage2)</f>
        <v>-0.43078291609245428</v>
      </c>
      <c r="F6" s="103">
        <f>rStage1Stage2</f>
        <v>0.12308083316927264</v>
      </c>
      <c r="G6" s="104">
        <v>0</v>
      </c>
      <c r="H6" s="103">
        <f>rStage1Remission</f>
        <v>0.30770208292318163</v>
      </c>
      <c r="I6" s="105">
        <v>0</v>
      </c>
      <c r="J6" s="106"/>
      <c r="K6" s="107"/>
      <c r="L6" s="108">
        <v>0</v>
      </c>
      <c r="M6" s="108">
        <f>1-N6-P6</f>
        <v>0.65</v>
      </c>
      <c r="N6" s="108">
        <f>rStage1Stage2/(rStage1Remission+rStage1Stage2)*(1-EXP(-(rStage1Remission+rStage1Stage2)))</f>
        <v>9.9999999999999992E-2</v>
      </c>
      <c r="O6" s="108">
        <v>0</v>
      </c>
      <c r="P6" s="108">
        <f>rStage1Remission/(rStage1Remission+rStage1Stage2)*(1-EXP(-(rStage1Remission+rStage1Stage2)))</f>
        <v>0.25</v>
      </c>
      <c r="Q6" s="109">
        <f>(1-EXP(-I6))</f>
        <v>0</v>
      </c>
      <c r="R6" s="106"/>
      <c r="S6" s="107"/>
      <c r="T6" s="110">
        <f t="shared" ref="T6:T10" si="2">AA6+AH6+(1/FACT(2))*AO6 + (1/FACT(3))*AV6+(1/FACT(4))*BC6</f>
        <v>0</v>
      </c>
      <c r="U6" s="110">
        <f t="shared" ref="U6:U10" si="3">AB6+AI6+(1/FACT(2))*AP6 + (1/FACT(3))*AW6+(1/FACT(4))*BD6</f>
        <v>0.66520051192271612</v>
      </c>
      <c r="V6" s="110">
        <f t="shared" ref="V6:V10" si="4">AC6+AJ6+(1/FACT(2))*AQ6 + (1/FACT(3))*AX6+(1/FACT(4))*BE6</f>
        <v>8.337870947983668E-2</v>
      </c>
      <c r="W6" s="110">
        <f t="shared" ref="W6:W10" si="5">AD6+AK6+(1/FACT(2))*AR6 + (1/FACT(3))*AY6+(1/FACT(4))*BF6</f>
        <v>7.4929765711120094E-3</v>
      </c>
      <c r="X6" s="110">
        <f t="shared" ref="X6:X10" si="6">AE6+AL6+(1/FACT(2))*AS6 + (1/FACT(3))*AZ6+(1/FACT(4))*BG6</f>
        <v>0.24239527321074386</v>
      </c>
      <c r="Y6" s="111">
        <f t="shared" ref="Y6:Y10" si="7">AF6+AM6+(1/FACT(2))*AT6 + (1/FACT(3))*BA6+(1/FACT(4))*BH6</f>
        <v>1.5325288155911814E-3</v>
      </c>
      <c r="Z6" s="106"/>
      <c r="AA6" s="112">
        <v>0</v>
      </c>
      <c r="AB6" s="112">
        <v>1</v>
      </c>
      <c r="AC6" s="112">
        <v>0</v>
      </c>
      <c r="AD6" s="112">
        <v>0</v>
      </c>
      <c r="AE6" s="112">
        <v>0</v>
      </c>
      <c r="AF6" s="112">
        <v>0</v>
      </c>
      <c r="AG6" s="61"/>
      <c r="AH6" s="126">
        <f t="shared" ref="AH6:AH10" si="8">D6</f>
        <v>0</v>
      </c>
      <c r="AI6" s="113">
        <f t="shared" ref="AI6:AI10" si="9">E6</f>
        <v>-0.43078291609245428</v>
      </c>
      <c r="AJ6" s="124">
        <f t="shared" ref="AJ6:AJ10" si="10">F6</f>
        <v>0.12308083316927264</v>
      </c>
      <c r="AK6" s="124">
        <f t="shared" ref="AK6:AK10" si="11">G6</f>
        <v>0</v>
      </c>
      <c r="AL6" s="113">
        <f t="shared" ref="AL6:AL10" si="12">H6</f>
        <v>0.30770208292318163</v>
      </c>
      <c r="AM6" s="113">
        <f t="shared" ref="AM6:AM10" si="13">I6</f>
        <v>0</v>
      </c>
      <c r="AN6" s="125"/>
      <c r="AO6" s="113">
        <v>0</v>
      </c>
      <c r="AP6" s="113">
        <v>0.22677130163322565</v>
      </c>
      <c r="AQ6" s="113">
        <v>-9.9224825898109326E-2</v>
      </c>
      <c r="AR6" s="113">
        <v>2.3577316266499327E-2</v>
      </c>
      <c r="AS6" s="113">
        <v>-0.15112379200161563</v>
      </c>
      <c r="AT6" s="113">
        <v>0</v>
      </c>
      <c r="AU6" s="125"/>
      <c r="AV6" s="113">
        <v>0</v>
      </c>
      <c r="AW6" s="113">
        <v>-0.12039867681661633</v>
      </c>
      <c r="AX6" s="113">
        <v>7.2045213723318458E-2</v>
      </c>
      <c r="AY6" s="113">
        <v>-3.5350019138721718E-2</v>
      </c>
      <c r="AZ6" s="113">
        <v>6.899518696625484E-2</v>
      </c>
      <c r="BA6" s="113">
        <v>1.4708295265764729E-2</v>
      </c>
      <c r="BB6" s="125"/>
      <c r="BC6" s="113">
        <v>0</v>
      </c>
      <c r="BD6" s="113">
        <v>6.3941360031850691E-2</v>
      </c>
      <c r="BE6" s="113">
        <v>-5.0333912662425047E-2</v>
      </c>
      <c r="BF6" s="113">
        <v>3.8303719063583166E-2</v>
      </c>
      <c r="BG6" s="113">
        <v>-2.9858676944138258E-2</v>
      </c>
      <c r="BH6" s="114">
        <v>-2.2052489488870557E-2</v>
      </c>
    </row>
    <row r="7" spans="2:60" x14ac:dyDescent="0.2">
      <c r="B7" s="101" t="s">
        <v>23</v>
      </c>
      <c r="C7" s="102" t="s">
        <v>9</v>
      </c>
      <c r="D7" s="104">
        <v>0</v>
      </c>
      <c r="E7" s="103">
        <f>rStage2Stage1</f>
        <v>6.385320297074884E-2</v>
      </c>
      <c r="F7" s="103">
        <f>-(rStage2Remission+rStage2Stage1+rStage2Stage3)</f>
        <v>-0.51082562376599072</v>
      </c>
      <c r="G7" s="103">
        <f>rStage2Stage3</f>
        <v>0.19155960891224652</v>
      </c>
      <c r="H7" s="103">
        <f>rStage2Remission</f>
        <v>0.25541281188299536</v>
      </c>
      <c r="I7" s="105">
        <v>0</v>
      </c>
      <c r="J7" s="106"/>
      <c r="K7" s="107"/>
      <c r="L7" s="108">
        <v>0</v>
      </c>
      <c r="M7" s="108">
        <f>rStage2Stage1/(rStage2Stage1+rStage2Stage3+rStage2Remission)*(1-EXP(-(rStage2Stage1+rStage2Stage3+rStage2Remission)))</f>
        <v>0.05</v>
      </c>
      <c r="N7" s="108">
        <f>1-M7-O7-P7</f>
        <v>0.59999999999999987</v>
      </c>
      <c r="O7" s="108">
        <f>rStage2Stage3/(rStage2Stage1+rStage2Stage3+rStage2Remission)*(1-EXP(-(rStage2Stage1+rStage2Stage3+rStage2Remission)))</f>
        <v>0.15000000000000002</v>
      </c>
      <c r="P7" s="108">
        <f>rStage2Remission/(rStage2Stage1+rStage2Stage3+rStage2Remission)*(1-EXP(-(rStage2Stage1+rStage2Stage3+rStage2Remission)))</f>
        <v>0.2</v>
      </c>
      <c r="Q7" s="109">
        <v>0</v>
      </c>
      <c r="R7" s="106"/>
      <c r="S7" s="107"/>
      <c r="T7" s="110">
        <f t="shared" si="2"/>
        <v>0</v>
      </c>
      <c r="U7" s="110">
        <f t="shared" si="3"/>
        <v>4.9992448552161332E-2</v>
      </c>
      <c r="V7" s="110">
        <f t="shared" si="4"/>
        <v>0.61196507342168949</v>
      </c>
      <c r="W7" s="110">
        <f t="shared" si="5"/>
        <v>0.10464863647859855</v>
      </c>
      <c r="X7" s="110">
        <f t="shared" si="6"/>
        <v>0.19199390232056063</v>
      </c>
      <c r="Y7" s="111">
        <f t="shared" si="7"/>
        <v>4.139993922699E-2</v>
      </c>
      <c r="Z7" s="106"/>
      <c r="AA7" s="112">
        <v>0</v>
      </c>
      <c r="AB7" s="112">
        <v>0</v>
      </c>
      <c r="AC7" s="112">
        <v>1</v>
      </c>
      <c r="AD7" s="112">
        <v>0</v>
      </c>
      <c r="AE7" s="112">
        <v>0</v>
      </c>
      <c r="AF7" s="112">
        <v>0</v>
      </c>
      <c r="AG7" s="61"/>
      <c r="AH7" s="126">
        <f t="shared" si="8"/>
        <v>0</v>
      </c>
      <c r="AI7" s="113">
        <f t="shared" si="9"/>
        <v>6.385320297074884E-2</v>
      </c>
      <c r="AJ7" s="124">
        <f t="shared" si="10"/>
        <v>-0.51082562376599072</v>
      </c>
      <c r="AK7" s="124">
        <f t="shared" si="11"/>
        <v>0.19155960891224652</v>
      </c>
      <c r="AL7" s="113">
        <f t="shared" si="12"/>
        <v>0.25541281188299536</v>
      </c>
      <c r="AM7" s="113">
        <f t="shared" si="13"/>
        <v>0</v>
      </c>
      <c r="AN7" s="125"/>
      <c r="AO7" s="113">
        <v>0</v>
      </c>
      <c r="AP7" s="113">
        <v>-3.2451776703077764E-2</v>
      </c>
      <c r="AQ7" s="113">
        <v>0.29591629585649587</v>
      </c>
      <c r="AR7" s="113">
        <v>-0.23063255953765702</v>
      </c>
      <c r="AS7" s="113">
        <v>-0.1523330621597816</v>
      </c>
      <c r="AT7" s="113">
        <v>0.11950110254402049</v>
      </c>
      <c r="AU7" s="125"/>
      <c r="AV7" s="113">
        <v>0</v>
      </c>
      <c r="AW7" s="113">
        <v>1.6370203509326199E-2</v>
      </c>
      <c r="AX7" s="113">
        <v>-0.17939438436318092</v>
      </c>
      <c r="AY7" s="113">
        <v>0.21654791829388167</v>
      </c>
      <c r="AZ7" s="113">
        <v>9.0352340109938686E-2</v>
      </c>
      <c r="BA7" s="113">
        <v>-0.14387607754996562</v>
      </c>
      <c r="BB7" s="125"/>
      <c r="BC7" s="113">
        <v>0</v>
      </c>
      <c r="BD7" s="113">
        <v>-8.717599646471787E-3</v>
      </c>
      <c r="BE7" s="113">
        <v>0.11355871967909785</v>
      </c>
      <c r="BF7" s="113">
        <v>-0.18446429713119367</v>
      </c>
      <c r="BG7" s="113">
        <v>-5.5466444020808955E-2</v>
      </c>
      <c r="BH7" s="114">
        <v>0.13508962111937653</v>
      </c>
    </row>
    <row r="8" spans="2:60" x14ac:dyDescent="0.2">
      <c r="B8" s="101" t="s">
        <v>23</v>
      </c>
      <c r="C8" s="102" t="s">
        <v>10</v>
      </c>
      <c r="D8" s="104">
        <v>0</v>
      </c>
      <c r="E8" s="104">
        <v>0</v>
      </c>
      <c r="F8" s="103">
        <f>rStage3Stage2</f>
        <v>6.9314718055994526E-2</v>
      </c>
      <c r="G8" s="103">
        <f>-(rStage3Death+rStage3Stage2)</f>
        <v>-0.69314718055994529</v>
      </c>
      <c r="H8" s="104">
        <v>0</v>
      </c>
      <c r="I8" s="115">
        <f>rStage3Death</f>
        <v>0.62383246250395075</v>
      </c>
      <c r="J8" s="106"/>
      <c r="K8" s="107"/>
      <c r="L8" s="108">
        <v>0</v>
      </c>
      <c r="M8" s="108">
        <v>0</v>
      </c>
      <c r="N8" s="108">
        <f>rStage3Stage2/(rStage3Death+rStage3Stage2)*(1-EXP(-(rStage3Death+rStage3Stage2)))</f>
        <v>4.9999999999999996E-2</v>
      </c>
      <c r="O8" s="108">
        <f>1-N8-Q8</f>
        <v>0.49999999999999994</v>
      </c>
      <c r="P8" s="108">
        <v>0</v>
      </c>
      <c r="Q8" s="109">
        <f>rStage3Death/(rStage3Death+rStage3Stage2)*(1-EXP(-(rStage3Death+rStage3Stage2)))</f>
        <v>0.45</v>
      </c>
      <c r="R8" s="106"/>
      <c r="S8" s="107"/>
      <c r="T8" s="110">
        <f t="shared" si="2"/>
        <v>0</v>
      </c>
      <c r="U8" s="110">
        <f t="shared" si="3"/>
        <v>1.5276247123751721E-3</v>
      </c>
      <c r="V8" s="110">
        <f t="shared" si="4"/>
        <v>3.7866493743893781E-2</v>
      </c>
      <c r="W8" s="110">
        <f t="shared" si="5"/>
        <v>0.50498692598375206</v>
      </c>
      <c r="X8" s="110">
        <f t="shared" si="6"/>
        <v>5.9671950226568319E-3</v>
      </c>
      <c r="Y8" s="111">
        <f t="shared" si="7"/>
        <v>0.44965176053732209</v>
      </c>
      <c r="Z8" s="106"/>
      <c r="AA8" s="112">
        <v>0</v>
      </c>
      <c r="AB8" s="112">
        <v>0</v>
      </c>
      <c r="AC8" s="112">
        <v>0</v>
      </c>
      <c r="AD8" s="112">
        <v>1</v>
      </c>
      <c r="AE8" s="112">
        <v>0</v>
      </c>
      <c r="AF8" s="112">
        <v>0</v>
      </c>
      <c r="AG8" s="61"/>
      <c r="AH8" s="126">
        <f t="shared" si="8"/>
        <v>0</v>
      </c>
      <c r="AI8" s="113">
        <f t="shared" si="9"/>
        <v>0</v>
      </c>
      <c r="AJ8" s="124">
        <f t="shared" si="10"/>
        <v>6.9314718055994526E-2</v>
      </c>
      <c r="AK8" s="124">
        <f t="shared" si="11"/>
        <v>-0.69314718055994529</v>
      </c>
      <c r="AL8" s="113">
        <f t="shared" si="12"/>
        <v>0</v>
      </c>
      <c r="AM8" s="113">
        <f t="shared" si="13"/>
        <v>0.62383246250395075</v>
      </c>
      <c r="AN8" s="125"/>
      <c r="AO8" s="113">
        <v>0</v>
      </c>
      <c r="AP8" s="113">
        <v>4.4259667608896481E-3</v>
      </c>
      <c r="AQ8" s="113">
        <v>-8.3453035478937315E-2</v>
      </c>
      <c r="AR8" s="113">
        <v>0.49373091420087034</v>
      </c>
      <c r="AS8" s="113">
        <v>1.7703867043558592E-2</v>
      </c>
      <c r="AT8" s="113">
        <v>-0.43240771252638127</v>
      </c>
      <c r="AU8" s="125"/>
      <c r="AV8" s="113">
        <v>0</v>
      </c>
      <c r="AW8" s="113">
        <v>-5.3172321341526194E-3</v>
      </c>
      <c r="AX8" s="113">
        <v>7.8356590866861753E-2</v>
      </c>
      <c r="AY8" s="113">
        <v>-0.35821442197250258</v>
      </c>
      <c r="AZ8" s="113">
        <v>-2.283030878046232E-2</v>
      </c>
      <c r="BA8" s="113">
        <v>0.3080053720202558</v>
      </c>
      <c r="BB8" s="125"/>
      <c r="BC8" s="113">
        <v>0</v>
      </c>
      <c r="BD8" s="113">
        <v>4.8203205029388272E-3</v>
      </c>
      <c r="BE8" s="113">
        <v>-6.6747321210616981E-2</v>
      </c>
      <c r="BF8" s="113">
        <v>0.2633052745283036</v>
      </c>
      <c r="BG8" s="113">
        <v>2.2087511142910146E-2</v>
      </c>
      <c r="BH8" s="114">
        <v>-0.22346578496353561</v>
      </c>
    </row>
    <row r="9" spans="2:60" x14ac:dyDescent="0.2">
      <c r="B9" s="101" t="s">
        <v>23</v>
      </c>
      <c r="C9" s="102" t="s">
        <v>11</v>
      </c>
      <c r="D9" s="104">
        <v>0</v>
      </c>
      <c r="E9" s="103">
        <f>rRemissionStage1</f>
        <v>0.10834595299851661</v>
      </c>
      <c r="F9" s="103">
        <f>rRemissionStage2</f>
        <v>5.4172976499258306E-2</v>
      </c>
      <c r="G9" s="104">
        <v>0</v>
      </c>
      <c r="H9" s="103">
        <f>-(rRemissionStage1+rRemissionStage2)</f>
        <v>-0.16251892949777491</v>
      </c>
      <c r="I9" s="105">
        <v>0</v>
      </c>
      <c r="J9" s="106"/>
      <c r="K9" s="107"/>
      <c r="L9" s="108">
        <v>0</v>
      </c>
      <c r="M9" s="108">
        <f>E9/(E9+F9)*(1-EXP(-(E9+F9)))</f>
        <v>0.10000000000000002</v>
      </c>
      <c r="N9" s="108">
        <f>F9/(E9+F9)*(1-EXP(-(E9+F9)))</f>
        <v>5.000000000000001E-2</v>
      </c>
      <c r="O9" s="108">
        <v>0</v>
      </c>
      <c r="P9" s="108">
        <f>1-M9-N9</f>
        <v>0.85</v>
      </c>
      <c r="Q9" s="109">
        <v>0</v>
      </c>
      <c r="R9" s="106"/>
      <c r="S9" s="107"/>
      <c r="T9" s="110">
        <f t="shared" si="2"/>
        <v>0</v>
      </c>
      <c r="U9" s="110">
        <f t="shared" si="3"/>
        <v>8.2656029093525665E-2</v>
      </c>
      <c r="V9" s="110">
        <f t="shared" si="4"/>
        <v>4.3968020381350295E-2</v>
      </c>
      <c r="W9" s="110">
        <f t="shared" si="5"/>
        <v>3.6589363136687505E-3</v>
      </c>
      <c r="X9" s="110">
        <f t="shared" si="6"/>
        <v>0.86894025559308163</v>
      </c>
      <c r="Y9" s="111">
        <f t="shared" si="7"/>
        <v>7.7675861837368451E-4</v>
      </c>
      <c r="Z9" s="106"/>
      <c r="AA9" s="112">
        <v>0</v>
      </c>
      <c r="AB9" s="112">
        <v>0</v>
      </c>
      <c r="AC9" s="112">
        <v>0</v>
      </c>
      <c r="AD9" s="112">
        <v>0</v>
      </c>
      <c r="AE9" s="112">
        <v>1</v>
      </c>
      <c r="AF9" s="112">
        <v>0</v>
      </c>
      <c r="AG9" s="61"/>
      <c r="AH9" s="126">
        <f t="shared" si="8"/>
        <v>0</v>
      </c>
      <c r="AI9" s="113">
        <f t="shared" si="9"/>
        <v>0.10834595299851661</v>
      </c>
      <c r="AJ9" s="124">
        <f t="shared" si="10"/>
        <v>5.4172976499258306E-2</v>
      </c>
      <c r="AK9" s="124">
        <f t="shared" si="11"/>
        <v>0</v>
      </c>
      <c r="AL9" s="113">
        <f t="shared" si="12"/>
        <v>-0.16251892949777491</v>
      </c>
      <c r="AM9" s="113">
        <f t="shared" si="13"/>
        <v>0</v>
      </c>
      <c r="AN9" s="125"/>
      <c r="AO9" s="113">
        <v>0</v>
      </c>
      <c r="AP9" s="113">
        <v>-6.0822735812315384E-2</v>
      </c>
      <c r="AQ9" s="113">
        <v>-2.3141768494285279E-2</v>
      </c>
      <c r="AR9" s="113">
        <v>1.0377354191810243E-2</v>
      </c>
      <c r="AS9" s="113">
        <v>7.3587150114790417E-2</v>
      </c>
      <c r="AT9" s="113">
        <v>0</v>
      </c>
      <c r="AU9" s="125"/>
      <c r="AV9" s="113">
        <v>0</v>
      </c>
      <c r="AW9" s="113">
        <v>3.2696589364814364E-2</v>
      </c>
      <c r="AX9" s="113">
        <v>9.0410336605155506E-3</v>
      </c>
      <c r="AY9" s="113">
        <v>-1.1626061922028235E-2</v>
      </c>
      <c r="AZ9" s="113">
        <v>-3.6585291523054356E-2</v>
      </c>
      <c r="BA9" s="113">
        <v>6.4737304197526793E-3</v>
      </c>
      <c r="BB9" s="125"/>
      <c r="BC9" s="113">
        <v>0</v>
      </c>
      <c r="BD9" s="113">
        <v>-1.7471701431255864E-2</v>
      </c>
      <c r="BE9" s="113">
        <v>-3.3818595404311023E-3</v>
      </c>
      <c r="BF9" s="113">
        <v>9.7904689144400238E-3</v>
      </c>
      <c r="BG9" s="113">
        <v>1.8315806895289229E-2</v>
      </c>
      <c r="BH9" s="114">
        <v>-7.2527148380422887E-3</v>
      </c>
    </row>
    <row r="10" spans="2:60" x14ac:dyDescent="0.2">
      <c r="B10" s="101" t="s">
        <v>23</v>
      </c>
      <c r="C10" s="102" t="s">
        <v>12</v>
      </c>
      <c r="D10" s="104">
        <v>0</v>
      </c>
      <c r="E10" s="104">
        <v>0</v>
      </c>
      <c r="F10" s="104">
        <v>0</v>
      </c>
      <c r="G10" s="104">
        <v>0</v>
      </c>
      <c r="H10" s="104">
        <v>0</v>
      </c>
      <c r="I10" s="115">
        <v>0</v>
      </c>
      <c r="J10" s="106"/>
      <c r="K10" s="107"/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9">
        <v>1</v>
      </c>
      <c r="R10" s="106"/>
      <c r="S10" s="107"/>
      <c r="T10" s="110">
        <f t="shared" si="2"/>
        <v>0</v>
      </c>
      <c r="U10" s="110">
        <f t="shared" si="3"/>
        <v>0</v>
      </c>
      <c r="V10" s="110">
        <f t="shared" si="4"/>
        <v>0</v>
      </c>
      <c r="W10" s="110">
        <f t="shared" si="5"/>
        <v>0</v>
      </c>
      <c r="X10" s="110">
        <f t="shared" si="6"/>
        <v>0</v>
      </c>
      <c r="Y10" s="111">
        <f t="shared" si="7"/>
        <v>1</v>
      </c>
      <c r="Z10" s="106"/>
      <c r="AA10" s="112">
        <v>0</v>
      </c>
      <c r="AB10" s="112">
        <v>0</v>
      </c>
      <c r="AC10" s="112">
        <v>0</v>
      </c>
      <c r="AD10" s="112">
        <v>0</v>
      </c>
      <c r="AE10" s="112">
        <v>0</v>
      </c>
      <c r="AF10" s="112">
        <v>1</v>
      </c>
      <c r="AG10" s="61"/>
      <c r="AH10" s="126">
        <f t="shared" si="8"/>
        <v>0</v>
      </c>
      <c r="AI10" s="113">
        <f t="shared" si="9"/>
        <v>0</v>
      </c>
      <c r="AJ10" s="124">
        <f t="shared" si="10"/>
        <v>0</v>
      </c>
      <c r="AK10" s="124">
        <f t="shared" si="11"/>
        <v>0</v>
      </c>
      <c r="AL10" s="113">
        <f t="shared" si="12"/>
        <v>0</v>
      </c>
      <c r="AM10" s="113">
        <f t="shared" si="13"/>
        <v>0</v>
      </c>
      <c r="AN10" s="125"/>
      <c r="AO10" s="113">
        <v>0</v>
      </c>
      <c r="AP10" s="113">
        <v>0</v>
      </c>
      <c r="AQ10" s="113">
        <v>0</v>
      </c>
      <c r="AR10" s="113">
        <v>0</v>
      </c>
      <c r="AS10" s="113">
        <v>0</v>
      </c>
      <c r="AT10" s="113">
        <v>0</v>
      </c>
      <c r="AU10" s="125"/>
      <c r="AV10" s="113">
        <v>0</v>
      </c>
      <c r="AW10" s="113">
        <v>0</v>
      </c>
      <c r="AX10" s="113">
        <v>0</v>
      </c>
      <c r="AY10" s="113">
        <v>0</v>
      </c>
      <c r="AZ10" s="113">
        <v>0</v>
      </c>
      <c r="BA10" s="113">
        <v>0</v>
      </c>
      <c r="BB10" s="125"/>
      <c r="BC10" s="113">
        <v>0</v>
      </c>
      <c r="BD10" s="113">
        <v>0</v>
      </c>
      <c r="BE10" s="113">
        <v>0</v>
      </c>
      <c r="BF10" s="113">
        <v>0</v>
      </c>
      <c r="BG10" s="113">
        <v>0</v>
      </c>
      <c r="BH10" s="114">
        <v>0</v>
      </c>
    </row>
    <row r="11" spans="2:60" ht="16" x14ac:dyDescent="0.2">
      <c r="B11" s="116"/>
      <c r="C11" s="117"/>
      <c r="D11" s="123"/>
      <c r="E11" s="123"/>
      <c r="F11" s="123"/>
      <c r="G11" s="123"/>
      <c r="H11" s="123"/>
      <c r="I11" s="95"/>
      <c r="J11" s="96"/>
      <c r="K11" s="97"/>
      <c r="L11" s="127"/>
      <c r="M11" s="127"/>
      <c r="N11" s="127"/>
      <c r="O11" s="127"/>
      <c r="P11" s="127"/>
      <c r="Q11" s="118"/>
      <c r="R11" s="96"/>
      <c r="S11" s="97"/>
      <c r="T11" s="127"/>
      <c r="U11" s="127"/>
      <c r="V11" s="127"/>
      <c r="W11" s="127"/>
      <c r="X11" s="127"/>
      <c r="Y11" s="118"/>
      <c r="Z11" s="96"/>
      <c r="AA11" s="61"/>
      <c r="AB11" s="61"/>
      <c r="AC11" s="61"/>
      <c r="AD11" s="61"/>
      <c r="AE11" s="61"/>
      <c r="AF11" s="61"/>
      <c r="AG11" s="61"/>
      <c r="AH11" s="119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0"/>
    </row>
    <row r="12" spans="2:60" ht="17" customHeight="1" x14ac:dyDescent="0.2">
      <c r="B12" s="101" t="s">
        <v>172</v>
      </c>
      <c r="C12" s="102" t="s">
        <v>7</v>
      </c>
      <c r="D12" s="103">
        <f>-(rHealthyStage1+rHealthyStage2+rHealthyStage3)</f>
        <v>-8.3381608939051138E-2</v>
      </c>
      <c r="E12" s="103">
        <f>rHealthyStage1</f>
        <v>5.2113505586906958E-2</v>
      </c>
      <c r="F12" s="103">
        <f>rHealthyStage2</f>
        <v>2.0845402234762785E-2</v>
      </c>
      <c r="G12" s="103">
        <f>rHealthyStage3</f>
        <v>1.0422701117381392E-2</v>
      </c>
      <c r="H12" s="104">
        <v>0</v>
      </c>
      <c r="I12" s="105">
        <v>0</v>
      </c>
      <c r="J12" s="106"/>
      <c r="K12" s="107" t="s">
        <v>173</v>
      </c>
      <c r="L12" s="108">
        <f>1-M12-N12-O12</f>
        <v>0.91999999999999993</v>
      </c>
      <c r="M12" s="108">
        <f>(rHealthyStage1/(rHealthyStage1+rHealthyStage2+rHealthyStage3))*(1-EXP(-(rHealthyStage1+rHealthyStage2+rHealthyStage3)))</f>
        <v>5.0000000000000044E-2</v>
      </c>
      <c r="N12" s="108">
        <f>(rHealthyStage2/(rHealthyStage1+rHealthyStage2+rHealthyStage3))*(1-EXP(-(rHealthyStage1+rHealthyStage2+rHealthyStage3)))</f>
        <v>2.0000000000000018E-2</v>
      </c>
      <c r="O12" s="108">
        <f>(rHealthyStage3/(rHealthyStage1+rHealthyStage2+rHealthyStage3))*(1-EXP(-(rHealthyStage1+rHealthyStage2+rHealthyStage3)))</f>
        <v>1.0000000000000009E-2</v>
      </c>
      <c r="P12" s="108">
        <v>0</v>
      </c>
      <c r="Q12" s="109">
        <v>0</v>
      </c>
      <c r="R12" s="106"/>
      <c r="S12" s="107" t="s">
        <v>184</v>
      </c>
      <c r="T12" s="110">
        <f>AA12+AH12+(1/FACT(2))*AO12 + (1/FACT(3))*AV12+(1/FACT(4))*BC12</f>
        <v>0.92000003312566181</v>
      </c>
      <c r="U12" s="110">
        <f t="shared" ref="U12:Y12" si="14">AB12+AI12+(1/FACT(2))*AP12 + (1/FACT(3))*AW12+(1/FACT(4))*BD12</f>
        <v>4.1070874070691848E-2</v>
      </c>
      <c r="V12" s="110">
        <f t="shared" si="14"/>
        <v>1.8225453981588331E-2</v>
      </c>
      <c r="W12" s="110">
        <f t="shared" si="14"/>
        <v>8.6322920214033181E-3</v>
      </c>
      <c r="X12" s="110">
        <f t="shared" si="14"/>
        <v>9.1970432288276498E-3</v>
      </c>
      <c r="Y12" s="111">
        <f t="shared" si="14"/>
        <v>2.8743035718271285E-3</v>
      </c>
      <c r="Z12" s="106"/>
      <c r="AA12" s="112">
        <v>1</v>
      </c>
      <c r="AB12" s="112">
        <v>0</v>
      </c>
      <c r="AC12" s="112">
        <v>0</v>
      </c>
      <c r="AD12" s="112">
        <v>0</v>
      </c>
      <c r="AE12" s="112">
        <v>0</v>
      </c>
      <c r="AF12" s="112">
        <v>0</v>
      </c>
      <c r="AG12" s="61"/>
      <c r="AH12" s="126">
        <f>D12</f>
        <v>-8.3381608939051138E-2</v>
      </c>
      <c r="AI12" s="113">
        <f t="shared" ref="AI12:AI17" si="15">E12</f>
        <v>5.2113505586906958E-2</v>
      </c>
      <c r="AJ12" s="124">
        <f t="shared" ref="AJ12:AJ17" si="16">F12</f>
        <v>2.0845402234762785E-2</v>
      </c>
      <c r="AK12" s="124">
        <f t="shared" ref="AK12:AK17" si="17">G12</f>
        <v>1.0422701117381392E-2</v>
      </c>
      <c r="AL12" s="113">
        <f t="shared" ref="AL12:AL17" si="18">H12</f>
        <v>0</v>
      </c>
      <c r="AM12" s="113">
        <f t="shared" ref="AM12:AM17" si="19">I12</f>
        <v>0</v>
      </c>
      <c r="AN12" s="125"/>
      <c r="AO12" s="113" cm="1">
        <f t="array" ref="AO12:AT17">MMULT(AH12:AM17,AH12:AM17)</f>
        <v>6.9524927092648528E-3</v>
      </c>
      <c r="AP12" s="113">
        <v>-2.5463870147915513E-2</v>
      </c>
      <c r="AQ12" s="113">
        <v>-5.2498685002006461E-3</v>
      </c>
      <c r="AR12" s="113">
        <v>-4.1003903822803816E-3</v>
      </c>
      <c r="AS12" s="113">
        <v>2.1359617017132973E-2</v>
      </c>
      <c r="AT12" s="113">
        <v>6.5020193039987129E-3</v>
      </c>
      <c r="AU12" s="125"/>
      <c r="AV12" s="113" cm="1">
        <f t="array" ref="AV12:BA17">MMULT(_xlfn.ANCHORARRAY(AO12),AH12:AM17)</f>
        <v>-5.797100282355261E-4</v>
      </c>
      <c r="AW12" s="113">
        <v>1.1430229423731968E-2</v>
      </c>
      <c r="AX12" s="113">
        <v>-3.7477122958399633E-4</v>
      </c>
      <c r="AY12" s="113">
        <v>1.9089750294630455E-3</v>
      </c>
      <c r="AZ12" s="113">
        <v>-9.8267665659700042E-3</v>
      </c>
      <c r="BA12" s="113">
        <v>-2.5579566294054866E-3</v>
      </c>
      <c r="BB12" s="125"/>
      <c r="BC12" s="113" cm="1">
        <f t="array" ref="BC12:BH17">MMULT(_xlfn.ANCHORARRAY(AV12),AH12:AM17)</f>
        <v>4.8337154872380933E-5</v>
      </c>
      <c r="BD12" s="113">
        <v>-5.1776323091042775E-3</v>
      </c>
      <c r="BE12" s="113">
        <v>1.6187488445568348E-3</v>
      </c>
      <c r="BF12" s="113">
        <v>-1.4010338339613682E-3</v>
      </c>
      <c r="BG12" s="113">
        <v>3.7206995501479459E-3</v>
      </c>
      <c r="BH12" s="114">
        <v>1.1908805934884837E-3</v>
      </c>
    </row>
    <row r="13" spans="2:60" ht="17" customHeight="1" x14ac:dyDescent="0.2">
      <c r="B13" s="101" t="s">
        <v>172</v>
      </c>
      <c r="C13" s="102" t="s">
        <v>8</v>
      </c>
      <c r="D13" s="104">
        <v>0</v>
      </c>
      <c r="E13" s="103">
        <f>-(rStage1Remission+rStage1Stage2)</f>
        <v>-0.43078291609245428</v>
      </c>
      <c r="F13" s="103">
        <f>rStage1Stage2</f>
        <v>0.12308083316927264</v>
      </c>
      <c r="G13" s="104">
        <v>0</v>
      </c>
      <c r="H13" s="103">
        <f>rStage1Remission</f>
        <v>0.30770208292318163</v>
      </c>
      <c r="I13" s="105">
        <v>0</v>
      </c>
      <c r="J13" s="106"/>
      <c r="K13" s="107"/>
      <c r="L13" s="108">
        <v>0</v>
      </c>
      <c r="M13" s="108">
        <f>1-N13-P13</f>
        <v>0.65</v>
      </c>
      <c r="N13" s="108">
        <f>rStage1Stage2/(rStage1Remission+rStage1Stage2)*(1-EXP(-(rStage1Remission+rStage1Stage2)))</f>
        <v>9.9999999999999992E-2</v>
      </c>
      <c r="O13" s="108">
        <v>0</v>
      </c>
      <c r="P13" s="108">
        <f>rStage1Remission/(rStage1Remission+rStage1Stage2)*(1-EXP(-(rStage1Remission+rStage1Stage2)))</f>
        <v>0.25</v>
      </c>
      <c r="Q13" s="109">
        <f>(1-EXP(-I13))</f>
        <v>0</v>
      </c>
      <c r="R13" s="106"/>
      <c r="S13" s="107"/>
      <c r="T13" s="110">
        <f t="shared" ref="T13:T17" si="20">AA13+AH13+(1/FACT(2))*AO13 + (1/FACT(3))*AV13+(1/FACT(4))*BC13</f>
        <v>0</v>
      </c>
      <c r="U13" s="110">
        <f t="shared" ref="U13:U17" si="21">AB13+AI13+(1/FACT(2))*AP13 + (1/FACT(3))*AW13+(1/FACT(4))*BD13</f>
        <v>0.65511109995477346</v>
      </c>
      <c r="V13" s="110">
        <f t="shared" ref="V13:V17" si="22">AC13+AJ13+(1/FACT(2))*AQ13 + (1/FACT(3))*AX13+(1/FACT(4))*BE13</f>
        <v>7.8134385796108999E-2</v>
      </c>
      <c r="W13" s="110">
        <f t="shared" ref="W13:W17" si="23">AD13+AK13+(1/FACT(2))*AR13 + (1/FACT(3))*AY13+(1/FACT(4))*BF13</f>
        <v>7.2204712578098984E-3</v>
      </c>
      <c r="X13" s="110">
        <f t="shared" ref="X13:X17" si="24">AE13+AL13+(1/FACT(2))*AS13 + (1/FACT(3))*AZ13+(1/FACT(4))*BG13</f>
        <v>0.25806895769599708</v>
      </c>
      <c r="Y13" s="111">
        <f t="shared" ref="Y13:Y17" si="25">AF13+AM13+(1/FACT(2))*AT13 + (1/FACT(3))*BA13+(1/FACT(4))*BH13</f>
        <v>1.4650852953105222E-3</v>
      </c>
      <c r="Z13" s="106"/>
      <c r="AA13" s="112">
        <v>0</v>
      </c>
      <c r="AB13" s="112">
        <v>1</v>
      </c>
      <c r="AC13" s="112">
        <v>0</v>
      </c>
      <c r="AD13" s="112">
        <v>0</v>
      </c>
      <c r="AE13" s="112">
        <v>0</v>
      </c>
      <c r="AF13" s="112">
        <v>0</v>
      </c>
      <c r="AG13" s="61"/>
      <c r="AH13" s="126">
        <f t="shared" ref="AH13:AH17" si="26">D13</f>
        <v>0</v>
      </c>
      <c r="AI13" s="113">
        <f t="shared" si="15"/>
        <v>-0.43078291609245428</v>
      </c>
      <c r="AJ13" s="124">
        <f t="shared" si="16"/>
        <v>0.12308083316927264</v>
      </c>
      <c r="AK13" s="124">
        <f t="shared" si="17"/>
        <v>0</v>
      </c>
      <c r="AL13" s="113">
        <f t="shared" si="18"/>
        <v>0.30770208292318163</v>
      </c>
      <c r="AM13" s="113">
        <f t="shared" si="19"/>
        <v>0</v>
      </c>
      <c r="AN13" s="125"/>
      <c r="AO13" s="113">
        <v>0</v>
      </c>
      <c r="AP13" s="113">
        <v>0.19968126727744109</v>
      </c>
      <c r="AQ13" s="113">
        <v>-0.1127698430760016</v>
      </c>
      <c r="AR13" s="113">
        <v>2.3577316266499327E-2</v>
      </c>
      <c r="AS13" s="113">
        <v>-0.11048874046793877</v>
      </c>
      <c r="AT13" s="113">
        <v>0</v>
      </c>
      <c r="AU13" s="125"/>
      <c r="AV13" s="113">
        <v>0</v>
      </c>
      <c r="AW13" s="113">
        <v>-9.5463593932815644E-2</v>
      </c>
      <c r="AX13" s="113">
        <v>8.2695117382078798E-2</v>
      </c>
      <c r="AY13" s="113">
        <v>-3.7944697332028418E-2</v>
      </c>
      <c r="AZ13" s="113">
        <v>3.6004878617000538E-2</v>
      </c>
      <c r="BA13" s="113">
        <v>1.4708295265764729E-2</v>
      </c>
      <c r="BB13" s="125"/>
      <c r="BC13" s="113">
        <v>0</v>
      </c>
      <c r="BD13" s="113">
        <v>4.7135553535436671E-2</v>
      </c>
      <c r="BE13" s="113">
        <v>-5.6257089572223563E-2</v>
      </c>
      <c r="BF13" s="113">
        <v>4.2142304317559311E-2</v>
      </c>
      <c r="BG13" s="113">
        <v>-9.3496343051660321E-3</v>
      </c>
      <c r="BH13" s="114">
        <v>-2.3671133975606377E-2</v>
      </c>
    </row>
    <row r="14" spans="2:60" ht="17" customHeight="1" x14ac:dyDescent="0.2">
      <c r="B14" s="101" t="s">
        <v>172</v>
      </c>
      <c r="C14" s="102" t="s">
        <v>9</v>
      </c>
      <c r="D14" s="104">
        <v>0</v>
      </c>
      <c r="E14" s="103">
        <f>rStage2Stage1</f>
        <v>6.385320297074884E-2</v>
      </c>
      <c r="F14" s="103">
        <f>-(rStage2Remission+rStage2Stage1+rStage2Stage3)</f>
        <v>-0.51082562376599072</v>
      </c>
      <c r="G14" s="103">
        <f>rStage2Stage3</f>
        <v>0.19155960891224652</v>
      </c>
      <c r="H14" s="103">
        <f>rStage2Remission</f>
        <v>0.25541281188299536</v>
      </c>
      <c r="I14" s="105">
        <v>0</v>
      </c>
      <c r="J14" s="106"/>
      <c r="K14" s="107"/>
      <c r="L14" s="108">
        <v>0</v>
      </c>
      <c r="M14" s="108">
        <f>rStage2Stage1/(rStage2Stage1+rStage2Stage3+rStage2Remission)*(1-EXP(-(rStage2Stage1+rStage2Stage3+rStage2Remission)))</f>
        <v>0.05</v>
      </c>
      <c r="N14" s="108">
        <f>1-M14-O14-P14</f>
        <v>0.59999999999999987</v>
      </c>
      <c r="O14" s="108">
        <f>rStage2Stage3/(rStage2Stage1+rStage2Stage3+rStage2Remission)*(1-EXP(-(rStage2Stage1+rStage2Stage3+rStage2Remission)))</f>
        <v>0.15000000000000002</v>
      </c>
      <c r="P14" s="108">
        <f>rStage2Remission/(rStage2Stage1+rStage2Stage3+rStage2Remission)*(1-EXP(-(rStage2Stage1+rStage2Stage3+rStage2Remission)))</f>
        <v>0.2</v>
      </c>
      <c r="Q14" s="109">
        <v>0</v>
      </c>
      <c r="R14" s="106"/>
      <c r="S14" s="107"/>
      <c r="T14" s="110">
        <f t="shared" si="20"/>
        <v>0</v>
      </c>
      <c r="U14" s="110">
        <f t="shared" si="21"/>
        <v>4.1848445956663219E-2</v>
      </c>
      <c r="V14" s="110">
        <f t="shared" si="22"/>
        <v>0.60773399496824454</v>
      </c>
      <c r="W14" s="110">
        <f t="shared" si="23"/>
        <v>0.10443188728337108</v>
      </c>
      <c r="X14" s="110">
        <f t="shared" si="24"/>
        <v>0.20464171508845855</v>
      </c>
      <c r="Y14" s="111">
        <f t="shared" si="25"/>
        <v>4.1343956703262755E-2</v>
      </c>
      <c r="Z14" s="106"/>
      <c r="AA14" s="112">
        <v>0</v>
      </c>
      <c r="AB14" s="112">
        <v>0</v>
      </c>
      <c r="AC14" s="112">
        <v>1</v>
      </c>
      <c r="AD14" s="112">
        <v>0</v>
      </c>
      <c r="AE14" s="112">
        <v>0</v>
      </c>
      <c r="AF14" s="112">
        <v>0</v>
      </c>
      <c r="AG14" s="61"/>
      <c r="AH14" s="126">
        <f t="shared" si="26"/>
        <v>0</v>
      </c>
      <c r="AI14" s="113">
        <f t="shared" si="15"/>
        <v>6.385320297074884E-2</v>
      </c>
      <c r="AJ14" s="124">
        <f t="shared" si="16"/>
        <v>-0.51082562376599072</v>
      </c>
      <c r="AK14" s="124">
        <f t="shared" si="17"/>
        <v>0.19155960891224652</v>
      </c>
      <c r="AL14" s="113">
        <f t="shared" si="18"/>
        <v>0.25541281188299536</v>
      </c>
      <c r="AM14" s="113">
        <f t="shared" si="19"/>
        <v>0</v>
      </c>
      <c r="AN14" s="125"/>
      <c r="AO14" s="113">
        <v>0</v>
      </c>
      <c r="AP14" s="113">
        <v>-5.4938273326973742E-2</v>
      </c>
      <c r="AQ14" s="113">
        <v>0.28467304754454792</v>
      </c>
      <c r="AR14" s="113">
        <v>-0.23063255953765702</v>
      </c>
      <c r="AS14" s="113">
        <v>-0.11860331722393763</v>
      </c>
      <c r="AT14" s="113">
        <v>0.11950110254402049</v>
      </c>
      <c r="AU14" s="125"/>
      <c r="AV14" s="113">
        <v>0</v>
      </c>
      <c r="AW14" s="113">
        <v>3.943538010890929E-2</v>
      </c>
      <c r="AX14" s="113">
        <v>-0.16937055405672566</v>
      </c>
      <c r="AY14" s="113">
        <v>0.21439416604434164</v>
      </c>
      <c r="AZ14" s="113">
        <v>5.9417085453440342E-2</v>
      </c>
      <c r="BA14" s="113">
        <v>-0.14387607754996562</v>
      </c>
      <c r="BB14" s="125"/>
      <c r="BC14" s="113">
        <v>0</v>
      </c>
      <c r="BD14" s="113">
        <v>-2.6596408850007268E-2</v>
      </c>
      <c r="BE14" s="113">
        <v>0.10683649531397113</v>
      </c>
      <c r="BF14" s="113">
        <v>-0.18105126881849304</v>
      </c>
      <c r="BG14" s="113">
        <v>-3.2934858195393373E-2</v>
      </c>
      <c r="BH14" s="114">
        <v>0.13374604054992253</v>
      </c>
    </row>
    <row r="15" spans="2:60" ht="17" customHeight="1" x14ac:dyDescent="0.2">
      <c r="B15" s="101" t="s">
        <v>172</v>
      </c>
      <c r="C15" s="102" t="s">
        <v>10</v>
      </c>
      <c r="D15" s="104">
        <v>0</v>
      </c>
      <c r="E15" s="104">
        <v>0</v>
      </c>
      <c r="F15" s="103">
        <f>rStage3Stage2</f>
        <v>6.9314718055994526E-2</v>
      </c>
      <c r="G15" s="103">
        <f>-(rStage3Death+rStage3Stage2)</f>
        <v>-0.69314718055994529</v>
      </c>
      <c r="H15" s="104">
        <v>0</v>
      </c>
      <c r="I15" s="115">
        <f>rStage3Death</f>
        <v>0.62383246250395075</v>
      </c>
      <c r="J15" s="106"/>
      <c r="K15" s="107"/>
      <c r="L15" s="108">
        <v>0</v>
      </c>
      <c r="M15" s="108">
        <v>0</v>
      </c>
      <c r="N15" s="108">
        <f>rStage3Stage2/(rStage3Death+rStage3Stage2)*(1-EXP(-(rStage3Death+rStage3Stage2)))</f>
        <v>4.9999999999999996E-2</v>
      </c>
      <c r="O15" s="108">
        <f>1-N15-Q15</f>
        <v>0.49999999999999994</v>
      </c>
      <c r="P15" s="108">
        <v>0</v>
      </c>
      <c r="Q15" s="109">
        <f>rStage3Death/(rStage3Death+rStage3Stage2)*(1-EXP(-(rStage3Death+rStage3Stage2)))</f>
        <v>0.45</v>
      </c>
      <c r="R15" s="106"/>
      <c r="S15" s="107"/>
      <c r="T15" s="110">
        <f t="shared" si="20"/>
        <v>0</v>
      </c>
      <c r="U15" s="110">
        <f t="shared" si="21"/>
        <v>1.3794807968019788E-3</v>
      </c>
      <c r="V15" s="110">
        <f t="shared" si="22"/>
        <v>3.7788064322152072E-2</v>
      </c>
      <c r="W15" s="110">
        <f t="shared" si="23"/>
        <v>0.50498070570333797</v>
      </c>
      <c r="X15" s="110">
        <f t="shared" si="24"/>
        <v>6.1999886403858789E-3</v>
      </c>
      <c r="Y15" s="111">
        <f t="shared" si="25"/>
        <v>0.44965176053732209</v>
      </c>
      <c r="Z15" s="106"/>
      <c r="AA15" s="112">
        <v>0</v>
      </c>
      <c r="AB15" s="112">
        <v>0</v>
      </c>
      <c r="AC15" s="112">
        <v>0</v>
      </c>
      <c r="AD15" s="112">
        <v>1</v>
      </c>
      <c r="AE15" s="112">
        <v>0</v>
      </c>
      <c r="AF15" s="112">
        <v>0</v>
      </c>
      <c r="AG15" s="61"/>
      <c r="AH15" s="126">
        <f t="shared" si="26"/>
        <v>0</v>
      </c>
      <c r="AI15" s="113">
        <f t="shared" si="15"/>
        <v>0</v>
      </c>
      <c r="AJ15" s="124">
        <f t="shared" si="16"/>
        <v>6.9314718055994526E-2</v>
      </c>
      <c r="AK15" s="124">
        <f t="shared" si="17"/>
        <v>-0.69314718055994529</v>
      </c>
      <c r="AL15" s="113">
        <f t="shared" si="18"/>
        <v>0</v>
      </c>
      <c r="AM15" s="113">
        <f t="shared" si="19"/>
        <v>0.62383246250395075</v>
      </c>
      <c r="AN15" s="125"/>
      <c r="AO15" s="113">
        <v>0</v>
      </c>
      <c r="AP15" s="113">
        <v>4.4259667608896481E-3</v>
      </c>
      <c r="AQ15" s="113">
        <v>-8.3453035478937315E-2</v>
      </c>
      <c r="AR15" s="113">
        <v>0.49373091420087034</v>
      </c>
      <c r="AS15" s="113">
        <v>1.7703867043558592E-2</v>
      </c>
      <c r="AT15" s="113">
        <v>-0.43240771252638127</v>
      </c>
      <c r="AU15" s="125"/>
      <c r="AV15" s="113">
        <v>0</v>
      </c>
      <c r="AW15" s="113">
        <v>-6.8758773077050419E-3</v>
      </c>
      <c r="AX15" s="113">
        <v>7.7577268280085543E-2</v>
      </c>
      <c r="AY15" s="113">
        <v>-0.35821442197250258</v>
      </c>
      <c r="AZ15" s="113">
        <v>-2.0492341020133687E-2</v>
      </c>
      <c r="BA15" s="113">
        <v>0.3080053720202558</v>
      </c>
      <c r="BB15" s="125"/>
      <c r="BC15" s="113">
        <v>0</v>
      </c>
      <c r="BD15" s="113">
        <v>7.4994472233918773E-3</v>
      </c>
      <c r="BE15" s="113">
        <v>-6.551233698531328E-2</v>
      </c>
      <c r="BF15" s="113">
        <v>0.2631559877983643</v>
      </c>
      <c r="BG15" s="113">
        <v>1.8322686927092727E-2</v>
      </c>
      <c r="BH15" s="114">
        <v>-0.22346578496353561</v>
      </c>
    </row>
    <row r="16" spans="2:60" x14ac:dyDescent="0.2">
      <c r="B16" s="101" t="s">
        <v>172</v>
      </c>
      <c r="C16" s="102" t="s">
        <v>11</v>
      </c>
      <c r="D16" s="104">
        <v>0</v>
      </c>
      <c r="E16" s="103">
        <f>rRemissionStage1*hrRemissionStage1_trtA</f>
        <v>2.0306138323139052E-2</v>
      </c>
      <c r="F16" s="103">
        <f>rRemissionStage2*hrRemissionStage2_trtA</f>
        <v>1.0153069161569526E-2</v>
      </c>
      <c r="G16" s="104">
        <v>0</v>
      </c>
      <c r="H16" s="103">
        <f>-(hrRemissionStage1_trtA*rRemissionStage1+hrRemissionStage2_trtA*rRemissionStage2)</f>
        <v>-3.0459207484708577E-2</v>
      </c>
      <c r="I16" s="105">
        <v>0</v>
      </c>
      <c r="J16" s="106"/>
      <c r="K16" s="107"/>
      <c r="L16" s="108">
        <v>0</v>
      </c>
      <c r="M16" s="108">
        <f>E16/(E16+F16)*(1-EXP(-(E16+F16)))</f>
        <v>2.0000000000000018E-2</v>
      </c>
      <c r="N16" s="108">
        <f>F16/(E16+F16)*(1-EXP(-(E16+F16)))</f>
        <v>1.0000000000000009E-2</v>
      </c>
      <c r="O16" s="108">
        <v>0</v>
      </c>
      <c r="P16" s="108">
        <f>1-M16-N16</f>
        <v>0.97</v>
      </c>
      <c r="Q16" s="109">
        <v>0</v>
      </c>
      <c r="R16" s="106"/>
      <c r="S16" s="107"/>
      <c r="T16" s="110">
        <f t="shared" si="20"/>
        <v>0</v>
      </c>
      <c r="U16" s="110">
        <f t="shared" si="21"/>
        <v>1.6505488372659197E-2</v>
      </c>
      <c r="V16" s="110">
        <f t="shared" si="22"/>
        <v>8.7675800993601612E-3</v>
      </c>
      <c r="W16" s="110">
        <f t="shared" si="23"/>
        <v>7.1314128482898584E-4</v>
      </c>
      <c r="X16" s="110">
        <f t="shared" si="24"/>
        <v>0.97386153438891887</v>
      </c>
      <c r="Y16" s="111">
        <f t="shared" si="25"/>
        <v>1.5225585423277757E-4</v>
      </c>
      <c r="Z16" s="106"/>
      <c r="AA16" s="112">
        <v>0</v>
      </c>
      <c r="AB16" s="112">
        <v>0</v>
      </c>
      <c r="AC16" s="112">
        <v>0</v>
      </c>
      <c r="AD16" s="112">
        <v>0</v>
      </c>
      <c r="AE16" s="112">
        <v>1</v>
      </c>
      <c r="AF16" s="112">
        <v>0</v>
      </c>
      <c r="AG16" s="61"/>
      <c r="AH16" s="126">
        <f t="shared" si="26"/>
        <v>0</v>
      </c>
      <c r="AI16" s="113">
        <f t="shared" si="15"/>
        <v>2.0306138323139052E-2</v>
      </c>
      <c r="AJ16" s="124">
        <f t="shared" si="16"/>
        <v>1.0153069161569526E-2</v>
      </c>
      <c r="AK16" s="124">
        <f t="shared" si="17"/>
        <v>0</v>
      </c>
      <c r="AL16" s="113">
        <f t="shared" si="18"/>
        <v>-3.0459207484708577E-2</v>
      </c>
      <c r="AM16" s="113">
        <f t="shared" si="19"/>
        <v>0</v>
      </c>
      <c r="AN16" s="125"/>
      <c r="AO16" s="113">
        <v>0</v>
      </c>
      <c r="AP16" s="113">
        <v>-8.7177403758665166E-3</v>
      </c>
      <c r="AQ16" s="113">
        <v>-2.9964059045343881E-3</v>
      </c>
      <c r="AR16" s="113">
        <v>1.9449179578492491E-3</v>
      </c>
      <c r="AS16" s="113">
        <v>9.7692283225516534E-3</v>
      </c>
      <c r="AT16" s="113">
        <v>0</v>
      </c>
      <c r="AU16" s="125"/>
      <c r="AV16" s="113">
        <v>0</v>
      </c>
      <c r="AW16" s="113">
        <v>3.7624988080757838E-3</v>
      </c>
      <c r="AX16" s="113">
        <v>6.9165325712920961E-4</v>
      </c>
      <c r="AY16" s="113">
        <v>-1.9221047421185671E-3</v>
      </c>
      <c r="AZ16" s="113">
        <v>-3.7453502820996784E-3</v>
      </c>
      <c r="BA16" s="113">
        <v>1.2133029590132521E-3</v>
      </c>
      <c r="BB16" s="125"/>
      <c r="BC16" s="113">
        <v>0</v>
      </c>
      <c r="BD16" s="113">
        <v>-1.6527095334213425E-3</v>
      </c>
      <c r="BE16" s="113">
        <v>-6.1479667128945482E-5</v>
      </c>
      <c r="BF16" s="113">
        <v>1.4647943101789385E-3</v>
      </c>
      <c r="BG16" s="113">
        <v>1.4484662248376967E-3</v>
      </c>
      <c r="BH16" s="114">
        <v>-1.1990713344663469E-3</v>
      </c>
    </row>
    <row r="17" spans="2:60" x14ac:dyDescent="0.2">
      <c r="B17" s="101" t="s">
        <v>172</v>
      </c>
      <c r="C17" s="102" t="s">
        <v>12</v>
      </c>
      <c r="D17" s="104">
        <v>0</v>
      </c>
      <c r="E17" s="104">
        <v>0</v>
      </c>
      <c r="F17" s="104">
        <v>0</v>
      </c>
      <c r="G17" s="104">
        <v>0</v>
      </c>
      <c r="H17" s="104">
        <v>0</v>
      </c>
      <c r="I17" s="115">
        <v>0</v>
      </c>
      <c r="J17" s="106"/>
      <c r="K17" s="107"/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9">
        <v>1</v>
      </c>
      <c r="R17" s="106"/>
      <c r="S17" s="107"/>
      <c r="T17" s="110">
        <f t="shared" si="20"/>
        <v>0</v>
      </c>
      <c r="U17" s="110">
        <f t="shared" si="21"/>
        <v>0</v>
      </c>
      <c r="V17" s="110">
        <f t="shared" si="22"/>
        <v>0</v>
      </c>
      <c r="W17" s="110">
        <f t="shared" si="23"/>
        <v>0</v>
      </c>
      <c r="X17" s="110">
        <f t="shared" si="24"/>
        <v>0</v>
      </c>
      <c r="Y17" s="111">
        <f t="shared" si="25"/>
        <v>1</v>
      </c>
      <c r="Z17" s="106"/>
      <c r="AA17" s="112">
        <v>0</v>
      </c>
      <c r="AB17" s="112">
        <v>0</v>
      </c>
      <c r="AC17" s="112">
        <v>0</v>
      </c>
      <c r="AD17" s="112">
        <v>0</v>
      </c>
      <c r="AE17" s="112">
        <v>0</v>
      </c>
      <c r="AF17" s="112">
        <v>1</v>
      </c>
      <c r="AG17" s="61"/>
      <c r="AH17" s="126">
        <f t="shared" si="26"/>
        <v>0</v>
      </c>
      <c r="AI17" s="113">
        <f t="shared" si="15"/>
        <v>0</v>
      </c>
      <c r="AJ17" s="124">
        <f t="shared" si="16"/>
        <v>0</v>
      </c>
      <c r="AK17" s="124">
        <f t="shared" si="17"/>
        <v>0</v>
      </c>
      <c r="AL17" s="113">
        <f t="shared" si="18"/>
        <v>0</v>
      </c>
      <c r="AM17" s="113">
        <f t="shared" si="19"/>
        <v>0</v>
      </c>
      <c r="AN17" s="125"/>
      <c r="AO17" s="113">
        <v>0</v>
      </c>
      <c r="AP17" s="113">
        <v>0</v>
      </c>
      <c r="AQ17" s="113">
        <v>0</v>
      </c>
      <c r="AR17" s="113">
        <v>0</v>
      </c>
      <c r="AS17" s="113">
        <v>0</v>
      </c>
      <c r="AT17" s="113">
        <v>0</v>
      </c>
      <c r="AU17" s="125"/>
      <c r="AV17" s="113">
        <v>0</v>
      </c>
      <c r="AW17" s="113">
        <v>0</v>
      </c>
      <c r="AX17" s="113">
        <v>0</v>
      </c>
      <c r="AY17" s="113">
        <v>0</v>
      </c>
      <c r="AZ17" s="113">
        <v>0</v>
      </c>
      <c r="BA17" s="113">
        <v>0</v>
      </c>
      <c r="BB17" s="125"/>
      <c r="BC17" s="113">
        <v>0</v>
      </c>
      <c r="BD17" s="113">
        <v>0</v>
      </c>
      <c r="BE17" s="113">
        <v>0</v>
      </c>
      <c r="BF17" s="113">
        <v>0</v>
      </c>
      <c r="BG17" s="113">
        <v>0</v>
      </c>
      <c r="BH17" s="114">
        <v>0</v>
      </c>
    </row>
    <row r="18" spans="2:60" x14ac:dyDescent="0.2">
      <c r="B18" s="61"/>
      <c r="C18" s="102"/>
      <c r="D18" s="83"/>
      <c r="E18" s="83"/>
      <c r="F18" s="83"/>
      <c r="G18" s="83"/>
      <c r="H18" s="83"/>
      <c r="I18" s="121"/>
      <c r="J18" s="106"/>
      <c r="K18" s="107"/>
      <c r="L18" s="127"/>
      <c r="M18" s="127"/>
      <c r="N18" s="127"/>
      <c r="O18" s="127"/>
      <c r="P18" s="127"/>
      <c r="Q18" s="118"/>
      <c r="R18" s="106"/>
      <c r="S18" s="107"/>
      <c r="T18" s="127"/>
      <c r="U18" s="127"/>
      <c r="V18" s="127"/>
      <c r="W18" s="127"/>
      <c r="X18" s="127"/>
      <c r="Y18" s="118"/>
      <c r="Z18" s="106"/>
      <c r="AA18" s="61"/>
      <c r="AB18" s="61"/>
      <c r="AC18" s="61"/>
      <c r="AD18" s="61"/>
      <c r="AE18" s="61"/>
      <c r="AF18" s="61"/>
      <c r="AG18" s="61"/>
      <c r="AH18" s="119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0"/>
    </row>
    <row r="19" spans="2:60" ht="15" customHeight="1" x14ac:dyDescent="0.2">
      <c r="B19" s="101" t="s">
        <v>174</v>
      </c>
      <c r="C19" s="102" t="s">
        <v>7</v>
      </c>
      <c r="D19" s="103">
        <f>-(rHealthyStage1+rHealthyStage2+rHealthyStage3)</f>
        <v>-8.3381608939051138E-2</v>
      </c>
      <c r="E19" s="103">
        <f>rHealthyStage1</f>
        <v>5.2113505586906958E-2</v>
      </c>
      <c r="F19" s="103">
        <f>rHealthyStage2</f>
        <v>2.0845402234762785E-2</v>
      </c>
      <c r="G19" s="103">
        <f>rHealthyStage3</f>
        <v>1.0422701117381392E-2</v>
      </c>
      <c r="H19" s="104">
        <v>0</v>
      </c>
      <c r="I19" s="105">
        <v>0</v>
      </c>
      <c r="J19" s="106"/>
      <c r="K19" s="107" t="s">
        <v>175</v>
      </c>
      <c r="L19" s="108">
        <f>1-M19-N19-O19</f>
        <v>0.91999999999999993</v>
      </c>
      <c r="M19" s="108">
        <f>(rHealthyStage1/(rHealthyStage1+rHealthyStage2+rHealthyStage3))*(1-EXP(-(rHealthyStage1+rHealthyStage2+rHealthyStage3)))</f>
        <v>5.0000000000000044E-2</v>
      </c>
      <c r="N19" s="108">
        <f>(rHealthyStage2/(rHealthyStage1+rHealthyStage2+rHealthyStage3))*(1-EXP(-(rHealthyStage1+rHealthyStage2+rHealthyStage3)))</f>
        <v>2.0000000000000018E-2</v>
      </c>
      <c r="O19" s="108">
        <f>(rHealthyStage3/(rHealthyStage1+rHealthyStage2+rHealthyStage3))*(1-EXP(-(rHealthyStage1+rHealthyStage2+rHealthyStage3)))</f>
        <v>1.0000000000000009E-2</v>
      </c>
      <c r="P19" s="108">
        <v>0</v>
      </c>
      <c r="Q19" s="109">
        <v>0</v>
      </c>
      <c r="R19" s="106"/>
      <c r="S19" s="107" t="s">
        <v>185</v>
      </c>
      <c r="T19" s="110">
        <f>AA19+AH19+(1/FACT(2))*AO19 + (1/FACT(3))*AV19+(1/FACT(4))*BC19</f>
        <v>0.92000003312566181</v>
      </c>
      <c r="U19" s="110">
        <f t="shared" ref="U19:U24" si="27">AB19+AI19+(1/FACT(2))*AP19 + (1/FACT(3))*AW19+(1/FACT(4))*BD19</f>
        <v>4.1243938406862884E-2</v>
      </c>
      <c r="V19" s="110">
        <f t="shared" ref="V19:V24" si="28">AC19+AJ19+(1/FACT(2))*AQ19 + (1/FACT(3))*AX19+(1/FACT(4))*BE19</f>
        <v>1.8288387162071464E-2</v>
      </c>
      <c r="W19" s="110">
        <f t="shared" ref="W19:W24" si="29">AD19+AK19+(1/FACT(2))*AR19 + (1/FACT(3))*AY19+(1/FACT(4))*BF19</f>
        <v>8.6359794210279055E-3</v>
      </c>
      <c r="X19" s="110">
        <f t="shared" ref="X19:X24" si="30">AE19+AL19+(1/FACT(2))*AS19 + (1/FACT(3))*AZ19+(1/FACT(4))*BG19</f>
        <v>8.9573583125488986E-3</v>
      </c>
      <c r="Y19" s="111">
        <f t="shared" ref="Y19:Y24" si="31">AF19+AM19+(1/FACT(2))*AT19 + (1/FACT(3))*BA19+(1/FACT(4))*BH19</f>
        <v>2.8743035718271285E-3</v>
      </c>
      <c r="Z19" s="106"/>
      <c r="AA19" s="112">
        <v>1</v>
      </c>
      <c r="AB19" s="112">
        <v>0</v>
      </c>
      <c r="AC19" s="112">
        <v>0</v>
      </c>
      <c r="AD19" s="112">
        <v>0</v>
      </c>
      <c r="AE19" s="112">
        <v>0</v>
      </c>
      <c r="AF19" s="112">
        <v>0</v>
      </c>
      <c r="AG19" s="61"/>
      <c r="AH19" s="126">
        <f>D19</f>
        <v>-8.3381608939051138E-2</v>
      </c>
      <c r="AI19" s="113">
        <f t="shared" ref="AI19:AI24" si="32">E19</f>
        <v>5.2113505586906958E-2</v>
      </c>
      <c r="AJ19" s="124">
        <f t="shared" ref="AJ19:AJ24" si="33">F19</f>
        <v>2.0845402234762785E-2</v>
      </c>
      <c r="AK19" s="124">
        <f t="shared" ref="AK19:AK24" si="34">G19</f>
        <v>1.0422701117381392E-2</v>
      </c>
      <c r="AL19" s="113">
        <f t="shared" ref="AL19:AL24" si="35">H19</f>
        <v>0</v>
      </c>
      <c r="AM19" s="113">
        <f t="shared" ref="AM19:AM24" si="36">I19</f>
        <v>0</v>
      </c>
      <c r="AN19" s="125"/>
      <c r="AO19" s="113" cm="1">
        <f t="array" ref="AO19:AT24">MMULT(AH19:AM24,AH19:AM24)</f>
        <v>6.9524927092648528E-3</v>
      </c>
      <c r="AP19" s="113">
        <v>-2.5463870147915513E-2</v>
      </c>
      <c r="AQ19" s="113">
        <v>-5.2498685002006461E-3</v>
      </c>
      <c r="AR19" s="113">
        <v>-4.1003903822803816E-3</v>
      </c>
      <c r="AS19" s="113">
        <v>2.1359617017132973E-2</v>
      </c>
      <c r="AT19" s="113">
        <v>6.5020193039987129E-3</v>
      </c>
      <c r="AU19" s="125"/>
      <c r="AV19" s="113" cm="1">
        <f t="array" ref="AV19:BA24">MMULT(_xlfn.ANCHORARRAY(AO19),AH19:AM24)</f>
        <v>-5.797100282355261E-4</v>
      </c>
      <c r="AW19" s="113">
        <v>1.2806765493159749E-2</v>
      </c>
      <c r="AX19" s="113">
        <v>8.7213379241524842E-5</v>
      </c>
      <c r="AY19" s="113">
        <v>1.9089750294630455E-3</v>
      </c>
      <c r="AZ19" s="113">
        <v>-1.1665287244223308E-2</v>
      </c>
      <c r="BA19" s="113">
        <v>-2.5579566294054866E-3</v>
      </c>
      <c r="BB19" s="125"/>
      <c r="BC19" s="113" cm="1">
        <f t="array" ref="BC19:BH24">MMULT(_xlfn.ANCHORARRAY(AV19),AH19:AM24)</f>
        <v>4.8337154872380933E-5</v>
      </c>
      <c r="BD19" s="113">
        <v>-6.5302325187106772E-3</v>
      </c>
      <c r="BE19" s="113">
        <v>1.2812067408499938E-3</v>
      </c>
      <c r="BF19" s="113">
        <v>-1.3125362429712742E-3</v>
      </c>
      <c r="BG19" s="113">
        <v>5.3223442724710922E-3</v>
      </c>
      <c r="BH19" s="114">
        <v>1.1908805934884837E-3</v>
      </c>
    </row>
    <row r="20" spans="2:60" x14ac:dyDescent="0.2">
      <c r="B20" s="101" t="s">
        <v>174</v>
      </c>
      <c r="C20" s="102" t="s">
        <v>8</v>
      </c>
      <c r="D20" s="104">
        <v>0</v>
      </c>
      <c r="E20" s="103">
        <f>-(rStage1Remission+rStage1Stage2)</f>
        <v>-0.43078291609245428</v>
      </c>
      <c r="F20" s="103">
        <f>rStage1Stage2</f>
        <v>0.12308083316927264</v>
      </c>
      <c r="G20" s="104">
        <v>0</v>
      </c>
      <c r="H20" s="103">
        <f>rStage1Remission</f>
        <v>0.30770208292318163</v>
      </c>
      <c r="I20" s="105">
        <v>0</v>
      </c>
      <c r="J20" s="106"/>
      <c r="K20" s="107"/>
      <c r="L20" s="108">
        <v>0</v>
      </c>
      <c r="M20" s="108">
        <f>1-N20-P20</f>
        <v>0.65</v>
      </c>
      <c r="N20" s="108">
        <f>rStage1Stage2/(rStage1Remission+rStage1Stage2)*(1-EXP(-(rStage1Remission+rStage1Stage2)))</f>
        <v>9.9999999999999992E-2</v>
      </c>
      <c r="O20" s="108">
        <v>0</v>
      </c>
      <c r="P20" s="108">
        <f>rStage1Remission/(rStage1Remission+rStage1Stage2)*(1-EXP(-(rStage1Remission+rStage1Stage2)))</f>
        <v>0.25</v>
      </c>
      <c r="Q20" s="109">
        <f>(1-EXP(-I20))</f>
        <v>0</v>
      </c>
      <c r="R20" s="106"/>
      <c r="S20" s="107"/>
      <c r="T20" s="110">
        <f t="shared" ref="T20:T24" si="37">AA20+AH20+(1/FACT(2))*AO20 + (1/FACT(3))*AV20+(1/FACT(4))*BC20</f>
        <v>0</v>
      </c>
      <c r="U20" s="110">
        <f t="shared" si="27"/>
        <v>0.66258372512950392</v>
      </c>
      <c r="V20" s="110">
        <f t="shared" si="28"/>
        <v>8.0826275485611124E-2</v>
      </c>
      <c r="W20" s="110">
        <f t="shared" si="29"/>
        <v>7.36268403026863E-3</v>
      </c>
      <c r="X20" s="110">
        <f t="shared" si="30"/>
        <v>0.24772909214638986</v>
      </c>
      <c r="Y20" s="111">
        <f t="shared" si="31"/>
        <v>1.4982232082263714E-3</v>
      </c>
      <c r="Z20" s="106"/>
      <c r="AA20" s="112">
        <v>0</v>
      </c>
      <c r="AB20" s="112">
        <v>1</v>
      </c>
      <c r="AC20" s="112">
        <v>0</v>
      </c>
      <c r="AD20" s="112">
        <v>0</v>
      </c>
      <c r="AE20" s="112">
        <v>0</v>
      </c>
      <c r="AF20" s="112">
        <v>0</v>
      </c>
      <c r="AG20" s="61"/>
      <c r="AH20" s="126">
        <f t="shared" ref="AH20:AH24" si="38">D20</f>
        <v>0</v>
      </c>
      <c r="AI20" s="113">
        <f t="shared" si="32"/>
        <v>-0.43078291609245428</v>
      </c>
      <c r="AJ20" s="124">
        <f t="shared" si="33"/>
        <v>0.12308083316927264</v>
      </c>
      <c r="AK20" s="124">
        <f t="shared" si="34"/>
        <v>0</v>
      </c>
      <c r="AL20" s="113">
        <f t="shared" si="35"/>
        <v>0.30770208292318163</v>
      </c>
      <c r="AM20" s="113">
        <f t="shared" si="36"/>
        <v>0</v>
      </c>
      <c r="AN20" s="125"/>
      <c r="AO20" s="113">
        <v>0</v>
      </c>
      <c r="AP20" s="113">
        <v>0.21951135203233485</v>
      </c>
      <c r="AQ20" s="113">
        <v>-0.10611459142518596</v>
      </c>
      <c r="AR20" s="113">
        <v>2.3577316266499327E-2</v>
      </c>
      <c r="AS20" s="113">
        <v>-0.13697407687364818</v>
      </c>
      <c r="AT20" s="113">
        <v>0</v>
      </c>
      <c r="AU20" s="125"/>
      <c r="AV20" s="113">
        <v>0</v>
      </c>
      <c r="AW20" s="113">
        <v>-0.11294630554738773</v>
      </c>
      <c r="AX20" s="113">
        <v>7.8504644236075019E-2</v>
      </c>
      <c r="AY20" s="113">
        <v>-3.6669819928585597E-2</v>
      </c>
      <c r="AZ20" s="113">
        <v>5.6403185974133574E-2</v>
      </c>
      <c r="BA20" s="113">
        <v>1.4708295265764729E-2</v>
      </c>
      <c r="BB20" s="125"/>
      <c r="BC20" s="113">
        <v>0</v>
      </c>
      <c r="BD20" s="113">
        <v>5.8448387128532786E-2</v>
      </c>
      <c r="BE20" s="113">
        <v>-5.4752864249945216E-2</v>
      </c>
      <c r="BF20" s="113">
        <v>4.0455901242797576E-2</v>
      </c>
      <c r="BG20" s="113">
        <v>-2.1275600055759149E-2</v>
      </c>
      <c r="BH20" s="114">
        <v>-2.2875824065626001E-2</v>
      </c>
    </row>
    <row r="21" spans="2:60" x14ac:dyDescent="0.2">
      <c r="B21" s="101" t="s">
        <v>174</v>
      </c>
      <c r="C21" s="102" t="s">
        <v>9</v>
      </c>
      <c r="D21" s="104">
        <v>0</v>
      </c>
      <c r="E21" s="103">
        <f>rStage2Stage1</f>
        <v>6.385320297074884E-2</v>
      </c>
      <c r="F21" s="103">
        <f>-(rStage2Remission+rStage2Stage1+rStage2Stage3)</f>
        <v>-0.51082562376599072</v>
      </c>
      <c r="G21" s="103">
        <f>rStage2Stage3</f>
        <v>0.19155960891224652</v>
      </c>
      <c r="H21" s="103">
        <f>rStage2Remission</f>
        <v>0.25541281188299536</v>
      </c>
      <c r="I21" s="105">
        <v>0</v>
      </c>
      <c r="J21" s="106"/>
      <c r="K21" s="107"/>
      <c r="L21" s="108">
        <v>0</v>
      </c>
      <c r="M21" s="108">
        <f>rStage2Stage1/(rStage2Stage1+rStage2Stage3+rStage2Remission)*(1-EXP(-(rStage2Stage1+rStage2Stage3+rStage2Remission)))</f>
        <v>0.05</v>
      </c>
      <c r="N21" s="108">
        <f>1-M21-O21-P21</f>
        <v>0.59999999999999987</v>
      </c>
      <c r="O21" s="108">
        <f>rStage2Stage3/(rStage2Stage1+rStage2Stage3+rStage2Remission)*(1-EXP(-(rStage2Stage1+rStage2Stage3+rStage2Remission)))</f>
        <v>0.15000000000000002</v>
      </c>
      <c r="P21" s="108">
        <f>rStage2Remission/(rStage2Stage1+rStage2Stage3+rStage2Remission)*(1-EXP(-(rStage2Stage1+rStage2Stage3+rStage2Remission)))</f>
        <v>0.2</v>
      </c>
      <c r="Q21" s="109">
        <v>0</v>
      </c>
      <c r="R21" s="106"/>
      <c r="S21" s="107"/>
      <c r="T21" s="110">
        <f t="shared" si="37"/>
        <v>0</v>
      </c>
      <c r="U21" s="110">
        <f t="shared" si="27"/>
        <v>4.7879412213737732E-2</v>
      </c>
      <c r="V21" s="110">
        <f t="shared" si="28"/>
        <v>0.60990467417815319</v>
      </c>
      <c r="W21" s="110">
        <f t="shared" si="29"/>
        <v>0.10454529095586357</v>
      </c>
      <c r="X21" s="110">
        <f t="shared" si="30"/>
        <v>0.19629915931842187</v>
      </c>
      <c r="Y21" s="111">
        <f t="shared" si="31"/>
        <v>4.1371463333823598E-2</v>
      </c>
      <c r="Z21" s="106"/>
      <c r="AA21" s="112">
        <v>0</v>
      </c>
      <c r="AB21" s="112">
        <v>0</v>
      </c>
      <c r="AC21" s="112">
        <v>1</v>
      </c>
      <c r="AD21" s="112">
        <v>0</v>
      </c>
      <c r="AE21" s="112">
        <v>0</v>
      </c>
      <c r="AF21" s="112">
        <v>0</v>
      </c>
      <c r="AG21" s="61"/>
      <c r="AH21" s="126">
        <f t="shared" si="38"/>
        <v>0</v>
      </c>
      <c r="AI21" s="113">
        <f t="shared" si="32"/>
        <v>6.385320297074884E-2</v>
      </c>
      <c r="AJ21" s="124">
        <f t="shared" si="33"/>
        <v>-0.51082562376599072</v>
      </c>
      <c r="AK21" s="124">
        <f t="shared" si="34"/>
        <v>0.19155960891224652</v>
      </c>
      <c r="AL21" s="113">
        <f t="shared" si="35"/>
        <v>0.25541281188299536</v>
      </c>
      <c r="AM21" s="113">
        <f t="shared" si="36"/>
        <v>0</v>
      </c>
      <c r="AN21" s="125"/>
      <c r="AO21" s="113">
        <v>0</v>
      </c>
      <c r="AP21" s="113">
        <v>-3.8478008713198009E-2</v>
      </c>
      <c r="AQ21" s="113">
        <v>0.29019734078876408</v>
      </c>
      <c r="AR21" s="113">
        <v>-0.23063255953765702</v>
      </c>
      <c r="AS21" s="113">
        <v>-0.14058787508192952</v>
      </c>
      <c r="AT21" s="113">
        <v>0.11950110254402049</v>
      </c>
      <c r="AU21" s="125"/>
      <c r="AV21" s="113">
        <v>0</v>
      </c>
      <c r="AW21" s="113">
        <v>2.3190613699959013E-2</v>
      </c>
      <c r="AX21" s="113">
        <v>-0.17343053063436464</v>
      </c>
      <c r="AY21" s="113">
        <v>0.21545239749772027</v>
      </c>
      <c r="AZ21" s="113">
        <v>7.8663596986650972E-2</v>
      </c>
      <c r="BA21" s="113">
        <v>-0.14387607754996562</v>
      </c>
      <c r="BB21" s="125"/>
      <c r="BC21" s="113">
        <v>0</v>
      </c>
      <c r="BD21" s="113">
        <v>-1.4397328409726649E-2</v>
      </c>
      <c r="BE21" s="113">
        <v>0.10888118373174485</v>
      </c>
      <c r="BF21" s="113">
        <v>-0.18256250649218769</v>
      </c>
      <c r="BG21" s="113">
        <v>-4.6327548513213385E-2</v>
      </c>
      <c r="BH21" s="114">
        <v>0.13440619968338288</v>
      </c>
    </row>
    <row r="22" spans="2:60" x14ac:dyDescent="0.2">
      <c r="B22" s="101" t="s">
        <v>174</v>
      </c>
      <c r="C22" s="102" t="s">
        <v>10</v>
      </c>
      <c r="D22" s="104">
        <v>0</v>
      </c>
      <c r="E22" s="104">
        <v>0</v>
      </c>
      <c r="F22" s="103">
        <f>rStage3Stage2</f>
        <v>6.9314718055994526E-2</v>
      </c>
      <c r="G22" s="103">
        <f>-(rStage3Death+rStage3Stage2)</f>
        <v>-0.69314718055994529</v>
      </c>
      <c r="H22" s="104">
        <v>0</v>
      </c>
      <c r="I22" s="115">
        <f>rStage3Death</f>
        <v>0.62383246250395075</v>
      </c>
      <c r="J22" s="106"/>
      <c r="K22" s="107"/>
      <c r="L22" s="108">
        <v>0</v>
      </c>
      <c r="M22" s="108">
        <v>0</v>
      </c>
      <c r="N22" s="108">
        <f>rStage3Stage2/(rStage3Death+rStage3Stage2)*(1-EXP(-(rStage3Death+rStage3Stage2)))</f>
        <v>4.9999999999999996E-2</v>
      </c>
      <c r="O22" s="108">
        <f>1-N22-Q22</f>
        <v>0.49999999999999994</v>
      </c>
      <c r="P22" s="108">
        <v>0</v>
      </c>
      <c r="Q22" s="109">
        <f>rStage3Death/(rStage3Death+rStage3Stage2)*(1-EXP(-(rStage3Death+rStage3Stage2)))</f>
        <v>0.45</v>
      </c>
      <c r="R22" s="106"/>
      <c r="S22" s="107"/>
      <c r="T22" s="110">
        <f t="shared" si="37"/>
        <v>0</v>
      </c>
      <c r="U22" s="110">
        <f t="shared" si="27"/>
        <v>1.4897689061954733E-3</v>
      </c>
      <c r="V22" s="110">
        <f t="shared" si="28"/>
        <v>3.7829098774195317E-2</v>
      </c>
      <c r="W22" s="110">
        <f t="shared" si="29"/>
        <v>0.50498376199562245</v>
      </c>
      <c r="X22" s="110">
        <f t="shared" si="30"/>
        <v>6.0456097866646054E-3</v>
      </c>
      <c r="Y22" s="111">
        <f t="shared" si="31"/>
        <v>0.44965176053732209</v>
      </c>
      <c r="Z22" s="106"/>
      <c r="AA22" s="112">
        <v>0</v>
      </c>
      <c r="AB22" s="112">
        <v>0</v>
      </c>
      <c r="AC22" s="112">
        <v>0</v>
      </c>
      <c r="AD22" s="112">
        <v>1</v>
      </c>
      <c r="AE22" s="112">
        <v>0</v>
      </c>
      <c r="AF22" s="112">
        <v>0</v>
      </c>
      <c r="AG22" s="61"/>
      <c r="AH22" s="126">
        <f t="shared" si="38"/>
        <v>0</v>
      </c>
      <c r="AI22" s="113">
        <f t="shared" si="32"/>
        <v>0</v>
      </c>
      <c r="AJ22" s="124">
        <f t="shared" si="33"/>
        <v>6.9314718055994526E-2</v>
      </c>
      <c r="AK22" s="124">
        <f t="shared" si="34"/>
        <v>-0.69314718055994529</v>
      </c>
      <c r="AL22" s="113">
        <f t="shared" si="35"/>
        <v>0</v>
      </c>
      <c r="AM22" s="113">
        <f t="shared" si="36"/>
        <v>0.62383246250395075</v>
      </c>
      <c r="AN22" s="125"/>
      <c r="AO22" s="113">
        <v>0</v>
      </c>
      <c r="AP22" s="113">
        <v>4.4259667608896481E-3</v>
      </c>
      <c r="AQ22" s="113">
        <v>-8.3453035478937315E-2</v>
      </c>
      <c r="AR22" s="113">
        <v>0.49373091420087034</v>
      </c>
      <c r="AS22" s="113">
        <v>1.7703867043558592E-2</v>
      </c>
      <c r="AT22" s="113">
        <v>-0.43240771252638127</v>
      </c>
      <c r="AU22" s="125"/>
      <c r="AV22" s="113">
        <v>0</v>
      </c>
      <c r="AW22" s="113">
        <v>-5.7349387068741133E-3</v>
      </c>
      <c r="AX22" s="113">
        <v>7.7960183108767026E-2</v>
      </c>
      <c r="AY22" s="113">
        <v>-0.35821442197250258</v>
      </c>
      <c r="AZ22" s="113">
        <v>-2.2016194449646094E-2</v>
      </c>
      <c r="BA22" s="113">
        <v>0.3080053720202558</v>
      </c>
      <c r="BB22" s="125"/>
      <c r="BC22" s="113">
        <v>0</v>
      </c>
      <c r="BD22" s="113">
        <v>5.5826074455120334E-3</v>
      </c>
      <c r="BE22" s="113">
        <v>-6.6059169451001432E-2</v>
      </c>
      <c r="BF22" s="113">
        <v>0.26322933881319321</v>
      </c>
      <c r="BG22" s="113">
        <v>2.0713008155831797E-2</v>
      </c>
      <c r="BH22" s="114">
        <v>-0.22346578496353561</v>
      </c>
    </row>
    <row r="23" spans="2:60" x14ac:dyDescent="0.2">
      <c r="B23" s="101" t="s">
        <v>174</v>
      </c>
      <c r="C23" s="102" t="s">
        <v>11</v>
      </c>
      <c r="D23" s="104">
        <v>0</v>
      </c>
      <c r="E23" s="103">
        <f>rRemissionStage1*hrRemissionStage1_trtB</f>
        <v>8.4751866367964723E-2</v>
      </c>
      <c r="F23" s="103">
        <f>rRemissionStage2*hrRemissionStage2_trtB</f>
        <v>3.1781949887986771E-2</v>
      </c>
      <c r="G23" s="104">
        <v>0</v>
      </c>
      <c r="H23" s="103">
        <f>-(hrRemissionStage1_trtB*rRemissionStage1+hrRemissionStage2_trtB*rRemissionStage2)</f>
        <v>-0.11653381625595149</v>
      </c>
      <c r="I23" s="105">
        <v>0</v>
      </c>
      <c r="J23" s="106"/>
      <c r="K23" s="107"/>
      <c r="L23" s="108">
        <v>0</v>
      </c>
      <c r="M23" s="108">
        <f>E23/(E23+F23)*(1-EXP(-(E23+F23)))</f>
        <v>7.9999999999999988E-2</v>
      </c>
      <c r="N23" s="108">
        <f>F23/(E23+F23)*(1-EXP(-(E23+F23)))</f>
        <v>2.9999999999999995E-2</v>
      </c>
      <c r="O23" s="108">
        <v>0</v>
      </c>
      <c r="P23" s="108">
        <f>1-M23-N23</f>
        <v>0.89</v>
      </c>
      <c r="Q23" s="109">
        <v>0</v>
      </c>
      <c r="R23" s="106"/>
      <c r="S23" s="107"/>
      <c r="T23" s="110">
        <f t="shared" si="37"/>
        <v>0</v>
      </c>
      <c r="U23" s="110">
        <f t="shared" si="27"/>
        <v>6.5854222849500058E-2</v>
      </c>
      <c r="V23" s="110">
        <f t="shared" si="28"/>
        <v>2.7292254316024039E-2</v>
      </c>
      <c r="W23" s="110">
        <f t="shared" si="29"/>
        <v>2.2223542345931957E-3</v>
      </c>
      <c r="X23" s="110">
        <f t="shared" si="30"/>
        <v>0.90415520141146533</v>
      </c>
      <c r="Y23" s="111">
        <f t="shared" si="31"/>
        <v>4.7596718841737924E-4</v>
      </c>
      <c r="Z23" s="106"/>
      <c r="AA23" s="112">
        <v>0</v>
      </c>
      <c r="AB23" s="112">
        <v>0</v>
      </c>
      <c r="AC23" s="112">
        <v>0</v>
      </c>
      <c r="AD23" s="112">
        <v>0</v>
      </c>
      <c r="AE23" s="112">
        <v>1</v>
      </c>
      <c r="AF23" s="112">
        <v>0</v>
      </c>
      <c r="AG23" s="61"/>
      <c r="AH23" s="126">
        <f t="shared" si="38"/>
        <v>0</v>
      </c>
      <c r="AI23" s="113">
        <f t="shared" si="32"/>
        <v>8.4751866367964723E-2</v>
      </c>
      <c r="AJ23" s="124">
        <f t="shared" si="33"/>
        <v>3.1781949887986771E-2</v>
      </c>
      <c r="AK23" s="124">
        <f t="shared" si="34"/>
        <v>0</v>
      </c>
      <c r="AL23" s="113">
        <f t="shared" si="35"/>
        <v>-0.11653381625595149</v>
      </c>
      <c r="AM23" s="113">
        <f t="shared" si="36"/>
        <v>0</v>
      </c>
      <c r="AN23" s="125"/>
      <c r="AO23" s="113">
        <v>0</v>
      </c>
      <c r="AP23" s="113">
        <v>-4.435673526393942E-2</v>
      </c>
      <c r="AQ23" s="113">
        <v>-9.5073759593128568E-3</v>
      </c>
      <c r="AR23" s="113">
        <v>6.0881378910113632E-3</v>
      </c>
      <c r="AS23" s="113">
        <v>4.7775973332240908E-2</v>
      </c>
      <c r="AT23" s="113">
        <v>0</v>
      </c>
      <c r="AU23" s="125"/>
      <c r="AV23" s="113">
        <v>0</v>
      </c>
      <c r="AW23" s="113">
        <v>2.2550150265945128E-2</v>
      </c>
      <c r="AX23" s="113">
        <v>1.3375584735357971E-3</v>
      </c>
      <c r="AY23" s="113">
        <v>-6.0412048345623633E-3</v>
      </c>
      <c r="AZ23" s="113">
        <v>-2.164448195753179E-2</v>
      </c>
      <c r="BA23" s="113">
        <v>3.797978052613228E-3</v>
      </c>
      <c r="BB23" s="125"/>
      <c r="BC23" s="113">
        <v>0</v>
      </c>
      <c r="BD23" s="113">
        <v>-1.1463222339659506E-2</v>
      </c>
      <c r="BE23" s="113">
        <v>9.855838905055011E-4</v>
      </c>
      <c r="BF23" s="113">
        <v>4.4436662763497909E-3</v>
      </c>
      <c r="BG23" s="113">
        <v>9.8026718612400261E-3</v>
      </c>
      <c r="BH23" s="114">
        <v>-3.7686996884358113E-3</v>
      </c>
    </row>
    <row r="24" spans="2:60" x14ac:dyDescent="0.2">
      <c r="B24" s="101" t="s">
        <v>174</v>
      </c>
      <c r="C24" s="102" t="s">
        <v>12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15">
        <v>0</v>
      </c>
      <c r="J24" s="106"/>
      <c r="K24" s="107"/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9">
        <v>1</v>
      </c>
      <c r="R24" s="106"/>
      <c r="S24" s="107"/>
      <c r="T24" s="110">
        <f t="shared" si="37"/>
        <v>0</v>
      </c>
      <c r="U24" s="110">
        <f t="shared" si="27"/>
        <v>0</v>
      </c>
      <c r="V24" s="110">
        <f t="shared" si="28"/>
        <v>0</v>
      </c>
      <c r="W24" s="110">
        <f t="shared" si="29"/>
        <v>0</v>
      </c>
      <c r="X24" s="110">
        <f t="shared" si="30"/>
        <v>0</v>
      </c>
      <c r="Y24" s="111">
        <f t="shared" si="31"/>
        <v>1</v>
      </c>
      <c r="Z24" s="106"/>
      <c r="AA24" s="112">
        <v>0</v>
      </c>
      <c r="AB24" s="112">
        <v>0</v>
      </c>
      <c r="AC24" s="112">
        <v>0</v>
      </c>
      <c r="AD24" s="112">
        <v>0</v>
      </c>
      <c r="AE24" s="112">
        <v>0</v>
      </c>
      <c r="AF24" s="112">
        <v>1</v>
      </c>
      <c r="AG24" s="61"/>
      <c r="AH24" s="126">
        <f t="shared" si="38"/>
        <v>0</v>
      </c>
      <c r="AI24" s="113">
        <f t="shared" si="32"/>
        <v>0</v>
      </c>
      <c r="AJ24" s="124">
        <f t="shared" si="33"/>
        <v>0</v>
      </c>
      <c r="AK24" s="124">
        <f t="shared" si="34"/>
        <v>0</v>
      </c>
      <c r="AL24" s="113">
        <f t="shared" si="35"/>
        <v>0</v>
      </c>
      <c r="AM24" s="113">
        <f t="shared" si="36"/>
        <v>0</v>
      </c>
      <c r="AN24" s="125"/>
      <c r="AO24" s="113">
        <v>0</v>
      </c>
      <c r="AP24" s="113">
        <v>0</v>
      </c>
      <c r="AQ24" s="113">
        <v>0</v>
      </c>
      <c r="AR24" s="113">
        <v>0</v>
      </c>
      <c r="AS24" s="113">
        <v>0</v>
      </c>
      <c r="AT24" s="113">
        <v>0</v>
      </c>
      <c r="AU24" s="125"/>
      <c r="AV24" s="113">
        <v>0</v>
      </c>
      <c r="AW24" s="113">
        <v>0</v>
      </c>
      <c r="AX24" s="113">
        <v>0</v>
      </c>
      <c r="AY24" s="113">
        <v>0</v>
      </c>
      <c r="AZ24" s="113">
        <v>0</v>
      </c>
      <c r="BA24" s="113">
        <v>0</v>
      </c>
      <c r="BB24" s="125"/>
      <c r="BC24" s="113">
        <v>0</v>
      </c>
      <c r="BD24" s="113">
        <v>0</v>
      </c>
      <c r="BE24" s="113">
        <v>0</v>
      </c>
      <c r="BF24" s="113">
        <v>0</v>
      </c>
      <c r="BG24" s="113">
        <v>0</v>
      </c>
      <c r="BH24" s="114">
        <v>0</v>
      </c>
    </row>
    <row r="25" spans="2:60" x14ac:dyDescent="0.2">
      <c r="B25" s="61"/>
      <c r="C25" s="122"/>
      <c r="D25" s="83"/>
      <c r="E25" s="83"/>
      <c r="F25" s="83"/>
      <c r="G25" s="83"/>
      <c r="H25" s="83"/>
      <c r="I25" s="121"/>
      <c r="J25" s="106"/>
      <c r="K25" s="107"/>
      <c r="L25" s="127"/>
      <c r="M25" s="127"/>
      <c r="N25" s="127"/>
      <c r="O25" s="127"/>
      <c r="P25" s="127"/>
      <c r="Q25" s="118"/>
      <c r="R25" s="106"/>
      <c r="S25" s="107"/>
      <c r="T25" s="127"/>
      <c r="U25" s="127"/>
      <c r="V25" s="127"/>
      <c r="W25" s="127"/>
      <c r="X25" s="127"/>
      <c r="Y25" s="118"/>
      <c r="Z25" s="106"/>
      <c r="AA25" s="61"/>
      <c r="AB25" s="61"/>
      <c r="AC25" s="61"/>
      <c r="AD25" s="61"/>
      <c r="AE25" s="61"/>
      <c r="AF25" s="61"/>
      <c r="AG25" s="61"/>
      <c r="AH25" s="119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0"/>
    </row>
    <row r="26" spans="2:60" ht="16" customHeight="1" x14ac:dyDescent="0.2">
      <c r="B26" s="101" t="s">
        <v>176</v>
      </c>
      <c r="C26" s="102" t="s">
        <v>7</v>
      </c>
      <c r="D26" s="103">
        <f>-(rHealthyStage1+rHealthyStage2+rHealthyStage3)</f>
        <v>-8.3381608939051138E-2</v>
      </c>
      <c r="E26" s="103">
        <f>rHealthyStage1</f>
        <v>5.2113505586906958E-2</v>
      </c>
      <c r="F26" s="103">
        <f>rHealthyStage2</f>
        <v>2.0845402234762785E-2</v>
      </c>
      <c r="G26" s="103">
        <f>rHealthyStage3</f>
        <v>1.0422701117381392E-2</v>
      </c>
      <c r="H26" s="104">
        <v>0</v>
      </c>
      <c r="I26" s="105">
        <v>0</v>
      </c>
      <c r="J26" s="106"/>
      <c r="K26" s="107" t="s">
        <v>177</v>
      </c>
      <c r="L26" s="108">
        <f>1-M26-N26-O26</f>
        <v>0.91999999999999993</v>
      </c>
      <c r="M26" s="108">
        <f>(rHealthyStage1/(rHealthyStage1+rHealthyStage2+rHealthyStage3))*(1-EXP(-(rHealthyStage1+rHealthyStage2+rHealthyStage3)))</f>
        <v>5.0000000000000044E-2</v>
      </c>
      <c r="N26" s="108">
        <f>(rHealthyStage2/(rHealthyStage1+rHealthyStage2+rHealthyStage3))*(1-EXP(-(rHealthyStage1+rHealthyStage2+rHealthyStage3)))</f>
        <v>2.0000000000000018E-2</v>
      </c>
      <c r="O26" s="108">
        <f>(rHealthyStage3/(rHealthyStage1+rHealthyStage2+rHealthyStage3))*(1-EXP(-(rHealthyStage1+rHealthyStage2+rHealthyStage3)))</f>
        <v>1.0000000000000009E-2</v>
      </c>
      <c r="P26" s="108">
        <v>0</v>
      </c>
      <c r="Q26" s="109">
        <v>0</v>
      </c>
      <c r="R26" s="106"/>
      <c r="S26" s="107" t="s">
        <v>186</v>
      </c>
      <c r="T26" s="110">
        <f>AA26+AH26+(1/FACT(2))*AO26 + (1/FACT(3))*AV26+(1/FACT(4))*BC26</f>
        <v>0.92000003312566181</v>
      </c>
      <c r="U26" s="110">
        <f t="shared" ref="U26:U31" si="39">AB26+AI26+(1/FACT(2))*AP26 + (1/FACT(3))*AW26+(1/FACT(4))*BD26</f>
        <v>4.1156779433542186E-2</v>
      </c>
      <c r="V26" s="110">
        <f t="shared" ref="V26:V31" si="40">AC26+AJ26+(1/FACT(2))*AQ26 + (1/FACT(3))*AX26+(1/FACT(4))*BE26</f>
        <v>1.8256656708182918E-2</v>
      </c>
      <c r="W26" s="110">
        <f t="shared" ref="W26:W31" si="41">AD26+AK26+(1/FACT(2))*AR26 + (1/FACT(3))*AY26+(1/FACT(4))*BF26</f>
        <v>8.6340959938034072E-3</v>
      </c>
      <c r="X26" s="110">
        <f t="shared" ref="X26:X31" si="42">AE26+AL26+(1/FACT(2))*AS26 + (1/FACT(3))*AZ26+(1/FACT(4))*BG26</f>
        <v>9.0781311669826375E-3</v>
      </c>
      <c r="Y26" s="111">
        <f t="shared" ref="Y26:Y31" si="43">AF26+AM26+(1/FACT(2))*AT26 + (1/FACT(3))*BA26+(1/FACT(4))*BH26</f>
        <v>2.8743035718271285E-3</v>
      </c>
      <c r="Z26" s="106"/>
      <c r="AA26" s="112">
        <v>1</v>
      </c>
      <c r="AB26" s="112">
        <v>0</v>
      </c>
      <c r="AC26" s="112">
        <v>0</v>
      </c>
      <c r="AD26" s="112">
        <v>0</v>
      </c>
      <c r="AE26" s="112">
        <v>0</v>
      </c>
      <c r="AF26" s="112">
        <v>0</v>
      </c>
      <c r="AG26" s="61"/>
      <c r="AH26" s="126">
        <f>D26</f>
        <v>-8.3381608939051138E-2</v>
      </c>
      <c r="AI26" s="113">
        <f t="shared" ref="AI26:AI31" si="44">E26</f>
        <v>5.2113505586906958E-2</v>
      </c>
      <c r="AJ26" s="124">
        <f t="shared" ref="AJ26:AJ31" si="45">F26</f>
        <v>2.0845402234762785E-2</v>
      </c>
      <c r="AK26" s="124">
        <f t="shared" ref="AK26:AK31" si="46">G26</f>
        <v>1.0422701117381392E-2</v>
      </c>
      <c r="AL26" s="113">
        <f t="shared" ref="AL26:AL31" si="47">H26</f>
        <v>0</v>
      </c>
      <c r="AM26" s="113">
        <f t="shared" ref="AM26:AM31" si="48">I26</f>
        <v>0</v>
      </c>
      <c r="AN26" s="125"/>
      <c r="AO26" s="113" cm="1">
        <f t="array" ref="AO26:AT31">MMULT(AH26:AM31,AH26:AM31)</f>
        <v>6.9524927092648528E-3</v>
      </c>
      <c r="AP26" s="113">
        <v>-2.5463870147915513E-2</v>
      </c>
      <c r="AQ26" s="113">
        <v>-5.2498685002006461E-3</v>
      </c>
      <c r="AR26" s="113">
        <v>-4.1003903822803816E-3</v>
      </c>
      <c r="AS26" s="113">
        <v>2.1359617017132973E-2</v>
      </c>
      <c r="AT26" s="113">
        <v>6.5020193039987129E-3</v>
      </c>
      <c r="AU26" s="125"/>
      <c r="AV26" s="113" cm="1">
        <f t="array" ref="AV26:BA31">MMULT(_xlfn.ANCHORARRAY(AO26),AH26:AM31)</f>
        <v>-5.797100282355261E-4</v>
      </c>
      <c r="AW26" s="113">
        <v>1.2103699661495706E-2</v>
      </c>
      <c r="AX26" s="113">
        <v>-1.487562682464184E-4</v>
      </c>
      <c r="AY26" s="113">
        <v>1.9089750294630455E-3</v>
      </c>
      <c r="AZ26" s="113">
        <v>-1.0726251765071321E-2</v>
      </c>
      <c r="BA26" s="113">
        <v>-2.5579566294054866E-3</v>
      </c>
      <c r="BB26" s="125"/>
      <c r="BC26" s="113" cm="1">
        <f t="array" ref="BC26:BH31">MMULT(_xlfn.ANCHORARRAY(AV26),AH26:AM31)</f>
        <v>4.8337154872380933E-5</v>
      </c>
      <c r="BD26" s="113">
        <v>-5.8097845517511935E-3</v>
      </c>
      <c r="BE26" s="113">
        <v>1.4635544374766525E-3</v>
      </c>
      <c r="BF26" s="113">
        <v>-1.3577384963592252E-3</v>
      </c>
      <c r="BG26" s="113">
        <v>4.4647508622729015E-3</v>
      </c>
      <c r="BH26" s="114">
        <v>1.1908805934884837E-3</v>
      </c>
    </row>
    <row r="27" spans="2:60" ht="16" customHeight="1" x14ac:dyDescent="0.2">
      <c r="B27" s="101" t="s">
        <v>176</v>
      </c>
      <c r="C27" s="102" t="s">
        <v>8</v>
      </c>
      <c r="D27" s="104">
        <v>0</v>
      </c>
      <c r="E27" s="103">
        <f>-(rStage1Remission+rStage1Stage2)</f>
        <v>-0.43078291609245428</v>
      </c>
      <c r="F27" s="103">
        <f>rStage1Stage2</f>
        <v>0.12308083316927264</v>
      </c>
      <c r="G27" s="104">
        <v>0</v>
      </c>
      <c r="H27" s="103">
        <f>rStage1Remission</f>
        <v>0.30770208292318163</v>
      </c>
      <c r="I27" s="105">
        <v>0</v>
      </c>
      <c r="J27" s="106"/>
      <c r="K27" s="107"/>
      <c r="L27" s="108">
        <v>0</v>
      </c>
      <c r="M27" s="108">
        <f>1-N27-P27</f>
        <v>0.65</v>
      </c>
      <c r="N27" s="108">
        <f>rStage1Stage2/(rStage1Remission+rStage1Stage2)*(1-EXP(-(rStage1Remission+rStage1Stage2)))</f>
        <v>9.9999999999999992E-2</v>
      </c>
      <c r="O27" s="108">
        <v>0</v>
      </c>
      <c r="P27" s="108">
        <f>rStage1Remission/(rStage1Remission+rStage1Stage2)*(1-EXP(-(rStage1Remission+rStage1Stage2)))</f>
        <v>0.25</v>
      </c>
      <c r="Q27" s="109">
        <f>(1-EXP(-I27))</f>
        <v>0</v>
      </c>
      <c r="R27" s="106"/>
      <c r="S27" s="107"/>
      <c r="T27" s="110">
        <f t="shared" ref="T27:T31" si="49">AA27+AH27+(1/FACT(2))*AO27 + (1/FACT(3))*AV27+(1/FACT(4))*BC27</f>
        <v>0</v>
      </c>
      <c r="U27" s="110">
        <f t="shared" si="39"/>
        <v>0.65881597555886895</v>
      </c>
      <c r="V27" s="110">
        <f t="shared" si="40"/>
        <v>7.9469246278086783E-2</v>
      </c>
      <c r="W27" s="110">
        <f t="shared" si="41"/>
        <v>7.2911883913273547E-3</v>
      </c>
      <c r="X27" s="110">
        <f t="shared" si="42"/>
        <v>0.25294229254214828</v>
      </c>
      <c r="Y27" s="111">
        <f t="shared" si="43"/>
        <v>1.4812972295685147E-3</v>
      </c>
      <c r="Z27" s="106"/>
      <c r="AA27" s="112">
        <v>0</v>
      </c>
      <c r="AB27" s="112">
        <v>1</v>
      </c>
      <c r="AC27" s="112">
        <v>0</v>
      </c>
      <c r="AD27" s="112">
        <v>0</v>
      </c>
      <c r="AE27" s="112">
        <v>0</v>
      </c>
      <c r="AF27" s="112">
        <v>0</v>
      </c>
      <c r="AG27" s="61"/>
      <c r="AH27" s="126">
        <f t="shared" ref="AH27:AH31" si="50">D27</f>
        <v>0</v>
      </c>
      <c r="AI27" s="113">
        <f t="shared" si="44"/>
        <v>-0.43078291609245428</v>
      </c>
      <c r="AJ27" s="124">
        <f t="shared" si="45"/>
        <v>0.12308083316927264</v>
      </c>
      <c r="AK27" s="124">
        <f t="shared" si="46"/>
        <v>0</v>
      </c>
      <c r="AL27" s="113">
        <f t="shared" si="47"/>
        <v>0.30770208292318163</v>
      </c>
      <c r="AM27" s="113">
        <f t="shared" si="48"/>
        <v>0</v>
      </c>
      <c r="AN27" s="125"/>
      <c r="AO27" s="113">
        <v>0</v>
      </c>
      <c r="AP27" s="113">
        <v>0.20938313575104017</v>
      </c>
      <c r="AQ27" s="113">
        <v>-0.10951391979237758</v>
      </c>
      <c r="AR27" s="113">
        <v>2.3577316266499327E-2</v>
      </c>
      <c r="AS27" s="113">
        <v>-0.12344653222516189</v>
      </c>
      <c r="AT27" s="113">
        <v>0</v>
      </c>
      <c r="AU27" s="125"/>
      <c r="AV27" s="113">
        <v>0</v>
      </c>
      <c r="AW27" s="113">
        <v>-0.1035904926134959</v>
      </c>
      <c r="AX27" s="113">
        <v>8.0788222112180064E-2</v>
      </c>
      <c r="AY27" s="113">
        <v>-3.7320993941169125E-2</v>
      </c>
      <c r="AZ27" s="113">
        <v>4.5414969176720228E-2</v>
      </c>
      <c r="BA27" s="113">
        <v>1.4708295265764729E-2</v>
      </c>
      <c r="BB27" s="125"/>
      <c r="BC27" s="113">
        <v>0</v>
      </c>
      <c r="BD27" s="113">
        <v>5.2137741073261502E-2</v>
      </c>
      <c r="BE27" s="113">
        <v>-5.5663936328649494E-2</v>
      </c>
      <c r="BF27" s="113">
        <v>4.1344701958541098E-2</v>
      </c>
      <c r="BG27" s="113">
        <v>-1.4536459149738543E-2</v>
      </c>
      <c r="BH27" s="114">
        <v>-2.3282047553414561E-2</v>
      </c>
    </row>
    <row r="28" spans="2:60" ht="16" customHeight="1" x14ac:dyDescent="0.2">
      <c r="B28" s="101" t="s">
        <v>176</v>
      </c>
      <c r="C28" s="102" t="s">
        <v>9</v>
      </c>
      <c r="D28" s="104">
        <v>0</v>
      </c>
      <c r="E28" s="103">
        <f>rStage2Stage1</f>
        <v>6.385320297074884E-2</v>
      </c>
      <c r="F28" s="103">
        <f>-(rStage2Remission+rStage2Stage1+rStage2Stage3)</f>
        <v>-0.51082562376599072</v>
      </c>
      <c r="G28" s="103">
        <f>rStage2Stage3</f>
        <v>0.19155960891224652</v>
      </c>
      <c r="H28" s="103">
        <f>rStage2Remission</f>
        <v>0.25541281188299536</v>
      </c>
      <c r="I28" s="105">
        <v>0</v>
      </c>
      <c r="J28" s="106"/>
      <c r="K28" s="107"/>
      <c r="L28" s="108">
        <v>0</v>
      </c>
      <c r="M28" s="108">
        <f>rStage2Stage1/(rStage2Stage1+rStage2Stage3+rStage2Remission)*(1-EXP(-(rStage2Stage1+rStage2Stage3+rStage2Remission)))</f>
        <v>0.05</v>
      </c>
      <c r="N28" s="108">
        <f>1-M28-O28-P28</f>
        <v>0.59999999999999987</v>
      </c>
      <c r="O28" s="108">
        <f>rStage2Stage3/(rStage2Stage1+rStage2Stage3+rStage2Remission)*(1-EXP(-(rStage2Stage1+rStage2Stage3+rStage2Remission)))</f>
        <v>0.15000000000000002</v>
      </c>
      <c r="P28" s="108">
        <f>rStage2Remission/(rStage2Stage1+rStage2Stage3+rStage2Remission)*(1-EXP(-(rStage2Stage1+rStage2Stage3+rStage2Remission)))</f>
        <v>0.2</v>
      </c>
      <c r="Q28" s="109">
        <v>0</v>
      </c>
      <c r="R28" s="106"/>
      <c r="S28" s="107"/>
      <c r="T28" s="110">
        <f t="shared" si="49"/>
        <v>0</v>
      </c>
      <c r="U28" s="110">
        <f t="shared" si="39"/>
        <v>4.483812811724925E-2</v>
      </c>
      <c r="V28" s="110">
        <f t="shared" si="40"/>
        <v>0.60881029940928721</v>
      </c>
      <c r="W28" s="110">
        <f t="shared" si="41"/>
        <v>0.10448831602884262</v>
      </c>
      <c r="X28" s="110">
        <f t="shared" si="42"/>
        <v>0.2005058427778057</v>
      </c>
      <c r="Y28" s="111">
        <f t="shared" si="43"/>
        <v>4.1357413666815154E-2</v>
      </c>
      <c r="Z28" s="106"/>
      <c r="AA28" s="112">
        <v>0</v>
      </c>
      <c r="AB28" s="112">
        <v>0</v>
      </c>
      <c r="AC28" s="112">
        <v>1</v>
      </c>
      <c r="AD28" s="112">
        <v>0</v>
      </c>
      <c r="AE28" s="112">
        <v>0</v>
      </c>
      <c r="AF28" s="112">
        <v>0</v>
      </c>
      <c r="AG28" s="61"/>
      <c r="AH28" s="126">
        <f t="shared" si="50"/>
        <v>0</v>
      </c>
      <c r="AI28" s="113">
        <f t="shared" si="44"/>
        <v>6.385320297074884E-2</v>
      </c>
      <c r="AJ28" s="124">
        <f t="shared" si="45"/>
        <v>-0.51082562376599072</v>
      </c>
      <c r="AK28" s="124">
        <f t="shared" si="46"/>
        <v>0.19155960891224652</v>
      </c>
      <c r="AL28" s="113">
        <f t="shared" si="47"/>
        <v>0.25541281188299536</v>
      </c>
      <c r="AM28" s="113">
        <f t="shared" si="48"/>
        <v>0</v>
      </c>
      <c r="AN28" s="125"/>
      <c r="AO28" s="113">
        <v>0</v>
      </c>
      <c r="AP28" s="113">
        <v>-4.6885089273684261E-2</v>
      </c>
      <c r="AQ28" s="113">
        <v>0.28737567637710387</v>
      </c>
      <c r="AR28" s="113">
        <v>-0.23063255953765702</v>
      </c>
      <c r="AS28" s="113">
        <v>-0.12935913010978312</v>
      </c>
      <c r="AT28" s="113">
        <v>0.11950110254402049</v>
      </c>
      <c r="AU28" s="125"/>
      <c r="AV28" s="113">
        <v>0</v>
      </c>
      <c r="AW28" s="113">
        <v>3.1841665945008639E-2</v>
      </c>
      <c r="AX28" s="113">
        <v>-0.17123794060086447</v>
      </c>
      <c r="AY28" s="113">
        <v>0.21491188056654104</v>
      </c>
      <c r="AZ28" s="113">
        <v>6.8360471639280412E-2</v>
      </c>
      <c r="BA28" s="113">
        <v>-0.14387607754996562</v>
      </c>
      <c r="BB28" s="125"/>
      <c r="BC28" s="113">
        <v>0</v>
      </c>
      <c r="BD28" s="113">
        <v>-2.1107388979813579E-2</v>
      </c>
      <c r="BE28" s="113">
        <v>0.10770580208488258</v>
      </c>
      <c r="BF28" s="113">
        <v>-0.18176783701597371</v>
      </c>
      <c r="BG28" s="113">
        <v>-3.8899583764275533E-2</v>
      </c>
      <c r="BH28" s="114">
        <v>0.13406900767518026</v>
      </c>
    </row>
    <row r="29" spans="2:60" ht="16" customHeight="1" x14ac:dyDescent="0.2">
      <c r="B29" s="101" t="s">
        <v>176</v>
      </c>
      <c r="C29" s="102" t="s">
        <v>10</v>
      </c>
      <c r="D29" s="104">
        <v>0</v>
      </c>
      <c r="E29" s="104">
        <v>0</v>
      </c>
      <c r="F29" s="103">
        <f>rStage3Stage2</f>
        <v>6.9314718055994526E-2</v>
      </c>
      <c r="G29" s="103">
        <f>-(rStage3Death+rStage3Stage2)</f>
        <v>-0.69314718055994529</v>
      </c>
      <c r="H29" s="104">
        <v>0</v>
      </c>
      <c r="I29" s="115">
        <f>rStage3Death</f>
        <v>0.62383246250395075</v>
      </c>
      <c r="J29" s="106"/>
      <c r="K29" s="107"/>
      <c r="L29" s="108">
        <v>0</v>
      </c>
      <c r="M29" s="108">
        <v>0</v>
      </c>
      <c r="N29" s="108">
        <f>rStage3Stage2/(rStage3Death+rStage3Stage2)*(1-EXP(-(rStage3Death+rStage3Stage2)))</f>
        <v>4.9999999999999996E-2</v>
      </c>
      <c r="O29" s="108">
        <f>1-N29-Q29</f>
        <v>0.49999999999999994</v>
      </c>
      <c r="P29" s="108">
        <v>0</v>
      </c>
      <c r="Q29" s="109">
        <f>rStage3Death/(rStage3Death+rStage3Stage2)*(1-EXP(-(rStage3Death+rStage3Stage2)))</f>
        <v>0.45</v>
      </c>
      <c r="R29" s="106"/>
      <c r="S29" s="107"/>
      <c r="T29" s="110">
        <f t="shared" si="49"/>
        <v>0</v>
      </c>
      <c r="U29" s="110">
        <f t="shared" si="39"/>
        <v>1.4344617516834158E-3</v>
      </c>
      <c r="V29" s="110">
        <f t="shared" si="40"/>
        <v>3.7808482731882725E-2</v>
      </c>
      <c r="W29" s="110">
        <f t="shared" si="41"/>
        <v>0.50498220092151047</v>
      </c>
      <c r="X29" s="110">
        <f t="shared" si="42"/>
        <v>6.1230940576013047E-3</v>
      </c>
      <c r="Y29" s="111">
        <f t="shared" si="43"/>
        <v>0.44965176053732209</v>
      </c>
      <c r="Z29" s="106"/>
      <c r="AA29" s="112">
        <v>0</v>
      </c>
      <c r="AB29" s="112">
        <v>0</v>
      </c>
      <c r="AC29" s="112">
        <v>0</v>
      </c>
      <c r="AD29" s="112">
        <v>1</v>
      </c>
      <c r="AE29" s="112">
        <v>0</v>
      </c>
      <c r="AF29" s="112">
        <v>0</v>
      </c>
      <c r="AG29" s="61"/>
      <c r="AH29" s="126">
        <f t="shared" si="50"/>
        <v>0</v>
      </c>
      <c r="AI29" s="113">
        <f t="shared" si="44"/>
        <v>0</v>
      </c>
      <c r="AJ29" s="124">
        <f t="shared" si="45"/>
        <v>6.9314718055994526E-2</v>
      </c>
      <c r="AK29" s="124">
        <f t="shared" si="46"/>
        <v>-0.69314718055994529</v>
      </c>
      <c r="AL29" s="113">
        <f t="shared" si="47"/>
        <v>0</v>
      </c>
      <c r="AM29" s="113">
        <f t="shared" si="48"/>
        <v>0.62383246250395075</v>
      </c>
      <c r="AN29" s="125"/>
      <c r="AO29" s="113">
        <v>0</v>
      </c>
      <c r="AP29" s="113">
        <v>4.4259667608896481E-3</v>
      </c>
      <c r="AQ29" s="113">
        <v>-8.3453035478937315E-2</v>
      </c>
      <c r="AR29" s="113">
        <v>0.49373091420087034</v>
      </c>
      <c r="AS29" s="113">
        <v>1.7703867043558592E-2</v>
      </c>
      <c r="AT29" s="113">
        <v>-0.43240771252638127</v>
      </c>
      <c r="AU29" s="125"/>
      <c r="AV29" s="113">
        <v>0</v>
      </c>
      <c r="AW29" s="113">
        <v>-6.3176731255982499E-3</v>
      </c>
      <c r="AX29" s="113">
        <v>7.7764600235624162E-2</v>
      </c>
      <c r="AY29" s="113">
        <v>-0.35821442197250258</v>
      </c>
      <c r="AZ29" s="113">
        <v>-2.1237877157779098E-2</v>
      </c>
      <c r="BA29" s="113">
        <v>0.3080053720202558</v>
      </c>
      <c r="BB29" s="125"/>
      <c r="BC29" s="113">
        <v>0</v>
      </c>
      <c r="BD29" s="113">
        <v>6.5861734121191997E-3</v>
      </c>
      <c r="BE29" s="113">
        <v>-6.5771622973932201E-2</v>
      </c>
      <c r="BF29" s="113">
        <v>0.26319187303450403</v>
      </c>
      <c r="BG29" s="113">
        <v>1.9459361490844582E-2</v>
      </c>
      <c r="BH29" s="114">
        <v>-0.22346578496353561</v>
      </c>
    </row>
    <row r="30" spans="2:60" x14ac:dyDescent="0.2">
      <c r="B30" s="101" t="s">
        <v>176</v>
      </c>
      <c r="C30" s="102" t="s">
        <v>11</v>
      </c>
      <c r="D30" s="104">
        <v>0</v>
      </c>
      <c r="E30" s="103">
        <f>rRemissionStage1*hrRemissionStage1_trtC</f>
        <v>5.1836209167739643E-2</v>
      </c>
      <c r="F30" s="103">
        <f>rRemissionStage2*hrRemissionStage2_trtC</f>
        <v>2.0734483667095856E-2</v>
      </c>
      <c r="G30" s="104">
        <v>0</v>
      </c>
      <c r="H30" s="103">
        <f>-(hrRemissionStage1_trtC*rRemissionStage1+hrRemissionStage2_trtC*rRemissionStage2)</f>
        <v>-7.2570692834835498E-2</v>
      </c>
      <c r="I30" s="105">
        <v>0</v>
      </c>
      <c r="J30" s="106"/>
      <c r="K30" s="107"/>
      <c r="L30" s="108">
        <v>0</v>
      </c>
      <c r="M30" s="108">
        <f>E30/(E30+F30)*(1-EXP(-(E30+F30)))</f>
        <v>5.0000000000000044E-2</v>
      </c>
      <c r="N30" s="108">
        <f>F30/(E30+F30)*(1-EXP(-(E30+F30)))</f>
        <v>2.0000000000000018E-2</v>
      </c>
      <c r="O30" s="108">
        <v>0</v>
      </c>
      <c r="P30" s="108">
        <f>1-M30-N30</f>
        <v>0.92999999999999994</v>
      </c>
      <c r="Q30" s="109">
        <v>0</v>
      </c>
      <c r="R30" s="106"/>
      <c r="S30" s="107"/>
      <c r="T30" s="110">
        <f t="shared" si="49"/>
        <v>0</v>
      </c>
      <c r="U30" s="110">
        <f t="shared" si="39"/>
        <v>4.1167161461335505E-2</v>
      </c>
      <c r="V30" s="110">
        <f t="shared" si="40"/>
        <v>1.801684630540884E-2</v>
      </c>
      <c r="W30" s="110">
        <f t="shared" si="41"/>
        <v>1.4612883365655925E-3</v>
      </c>
      <c r="X30" s="110">
        <f t="shared" si="42"/>
        <v>0.93904176283323504</v>
      </c>
      <c r="Y30" s="111">
        <f t="shared" si="43"/>
        <v>3.1294106345496579E-4</v>
      </c>
      <c r="Z30" s="106"/>
      <c r="AA30" s="112">
        <v>0</v>
      </c>
      <c r="AB30" s="112">
        <v>0</v>
      </c>
      <c r="AC30" s="112">
        <v>0</v>
      </c>
      <c r="AD30" s="112">
        <v>0</v>
      </c>
      <c r="AE30" s="112">
        <v>1</v>
      </c>
      <c r="AF30" s="112">
        <v>0</v>
      </c>
      <c r="AG30" s="61"/>
      <c r="AH30" s="126">
        <f t="shared" si="50"/>
        <v>0</v>
      </c>
      <c r="AI30" s="113">
        <f t="shared" si="44"/>
        <v>5.1836209167739643E-2</v>
      </c>
      <c r="AJ30" s="124">
        <f t="shared" si="45"/>
        <v>2.0734483667095856E-2</v>
      </c>
      <c r="AK30" s="124">
        <f t="shared" si="46"/>
        <v>0</v>
      </c>
      <c r="AL30" s="113">
        <f t="shared" si="47"/>
        <v>-7.2570692834835498E-2</v>
      </c>
      <c r="AM30" s="113">
        <f t="shared" si="48"/>
        <v>0</v>
      </c>
      <c r="AN30" s="125"/>
      <c r="AO30" s="113">
        <v>0</v>
      </c>
      <c r="AP30" s="113">
        <v>-2.4767979763602864E-2</v>
      </c>
      <c r="AQ30" s="113">
        <v>-5.71637758530163E-3</v>
      </c>
      <c r="AR30" s="113">
        <v>3.9718895822662449E-3</v>
      </c>
      <c r="AS30" s="113">
        <v>2.6512467766638247E-2</v>
      </c>
      <c r="AT30" s="113">
        <v>0</v>
      </c>
      <c r="AU30" s="125"/>
      <c r="AV30" s="113">
        <v>0</v>
      </c>
      <c r="AW30" s="113">
        <v>1.1678919354776449E-2</v>
      </c>
      <c r="AX30" s="113">
        <v>6.9664129689580093E-4</v>
      </c>
      <c r="AY30" s="113">
        <v>-3.848131120078379E-3</v>
      </c>
      <c r="AZ30" s="113">
        <v>-1.1005223190492811E-2</v>
      </c>
      <c r="BA30" s="113">
        <v>2.47779365889894E-3</v>
      </c>
      <c r="BB30" s="125"/>
      <c r="BC30" s="113">
        <v>0</v>
      </c>
      <c r="BD30" s="113">
        <v>-5.5570652095707539E-3</v>
      </c>
      <c r="BE30" s="113">
        <v>5.8666915554793386E-4</v>
      </c>
      <c r="BF30" s="113">
        <v>2.8007695706927923E-3</v>
      </c>
      <c r="BG30" s="113">
        <v>4.5702155960066085E-3</v>
      </c>
      <c r="BH30" s="114">
        <v>-2.4005891126765815E-3</v>
      </c>
    </row>
    <row r="31" spans="2:60" ht="16" thickBot="1" x14ac:dyDescent="0.25">
      <c r="B31" s="101" t="s">
        <v>176</v>
      </c>
      <c r="C31" s="131" t="s">
        <v>12</v>
      </c>
      <c r="D31" s="132">
        <v>0</v>
      </c>
      <c r="E31" s="132">
        <v>0</v>
      </c>
      <c r="F31" s="132">
        <v>0</v>
      </c>
      <c r="G31" s="132">
        <v>0</v>
      </c>
      <c r="H31" s="132">
        <v>0</v>
      </c>
      <c r="I31" s="133">
        <v>0</v>
      </c>
      <c r="J31" s="106"/>
      <c r="K31" s="128"/>
      <c r="L31" s="134">
        <v>0</v>
      </c>
      <c r="M31" s="134">
        <v>0</v>
      </c>
      <c r="N31" s="134">
        <v>0</v>
      </c>
      <c r="O31" s="134">
        <v>0</v>
      </c>
      <c r="P31" s="134">
        <v>0</v>
      </c>
      <c r="Q31" s="135">
        <v>1</v>
      </c>
      <c r="R31" s="106"/>
      <c r="S31" s="128"/>
      <c r="T31" s="129">
        <f t="shared" si="49"/>
        <v>0</v>
      </c>
      <c r="U31" s="129">
        <f t="shared" si="39"/>
        <v>0</v>
      </c>
      <c r="V31" s="129">
        <f t="shared" si="40"/>
        <v>0</v>
      </c>
      <c r="W31" s="129">
        <f t="shared" si="41"/>
        <v>0</v>
      </c>
      <c r="X31" s="129">
        <f t="shared" si="42"/>
        <v>0</v>
      </c>
      <c r="Y31" s="130">
        <f t="shared" si="43"/>
        <v>1</v>
      </c>
      <c r="Z31" s="106"/>
      <c r="AA31" s="112">
        <v>0</v>
      </c>
      <c r="AB31" s="112">
        <v>0</v>
      </c>
      <c r="AC31" s="112">
        <v>0</v>
      </c>
      <c r="AD31" s="112">
        <v>0</v>
      </c>
      <c r="AE31" s="112">
        <v>0</v>
      </c>
      <c r="AF31" s="112">
        <v>1</v>
      </c>
      <c r="AG31" s="61"/>
      <c r="AH31" s="136">
        <f t="shared" si="50"/>
        <v>0</v>
      </c>
      <c r="AI31" s="137">
        <f t="shared" si="44"/>
        <v>0</v>
      </c>
      <c r="AJ31" s="138">
        <f t="shared" si="45"/>
        <v>0</v>
      </c>
      <c r="AK31" s="138">
        <f t="shared" si="46"/>
        <v>0</v>
      </c>
      <c r="AL31" s="137">
        <f t="shared" si="47"/>
        <v>0</v>
      </c>
      <c r="AM31" s="137">
        <f t="shared" si="48"/>
        <v>0</v>
      </c>
      <c r="AN31" s="139"/>
      <c r="AO31" s="137">
        <v>0</v>
      </c>
      <c r="AP31" s="137">
        <v>0</v>
      </c>
      <c r="AQ31" s="137">
        <v>0</v>
      </c>
      <c r="AR31" s="137">
        <v>0</v>
      </c>
      <c r="AS31" s="137">
        <v>0</v>
      </c>
      <c r="AT31" s="137">
        <v>0</v>
      </c>
      <c r="AU31" s="139"/>
      <c r="AV31" s="137">
        <v>0</v>
      </c>
      <c r="AW31" s="137">
        <v>0</v>
      </c>
      <c r="AX31" s="137">
        <v>0</v>
      </c>
      <c r="AY31" s="137">
        <v>0</v>
      </c>
      <c r="AZ31" s="137">
        <v>0</v>
      </c>
      <c r="BA31" s="137">
        <v>0</v>
      </c>
      <c r="BB31" s="139"/>
      <c r="BC31" s="137">
        <v>0</v>
      </c>
      <c r="BD31" s="137">
        <v>0</v>
      </c>
      <c r="BE31" s="137">
        <v>0</v>
      </c>
      <c r="BF31" s="137">
        <v>0</v>
      </c>
      <c r="BG31" s="137">
        <v>0</v>
      </c>
      <c r="BH31" s="140">
        <v>0</v>
      </c>
    </row>
    <row r="33" spans="19:25" ht="16" thickBot="1" x14ac:dyDescent="0.25"/>
    <row r="34" spans="19:25" ht="17" thickBot="1" x14ac:dyDescent="0.25">
      <c r="S34" s="84" t="s">
        <v>242</v>
      </c>
      <c r="T34" s="85"/>
      <c r="U34" s="85"/>
      <c r="V34" s="85"/>
      <c r="W34" s="85"/>
      <c r="X34" s="85"/>
      <c r="Y34" s="86"/>
    </row>
    <row r="35" spans="19:25" ht="16" x14ac:dyDescent="0.2">
      <c r="S35" s="87"/>
      <c r="T35" s="230" t="s">
        <v>164</v>
      </c>
      <c r="U35" s="230"/>
      <c r="V35" s="230"/>
      <c r="W35" s="230"/>
      <c r="X35" s="230"/>
      <c r="Y35" s="231"/>
    </row>
    <row r="36" spans="19:25" ht="17" x14ac:dyDescent="0.2">
      <c r="S36" s="97"/>
      <c r="T36" s="94" t="s">
        <v>7</v>
      </c>
      <c r="U36" s="123" t="s">
        <v>8</v>
      </c>
      <c r="V36" s="123" t="s">
        <v>9</v>
      </c>
      <c r="W36" s="123" t="s">
        <v>10</v>
      </c>
      <c r="X36" s="123" t="s">
        <v>11</v>
      </c>
      <c r="Y36" s="95" t="s">
        <v>12</v>
      </c>
    </row>
    <row r="37" spans="19:25" ht="16" x14ac:dyDescent="0.2">
      <c r="S37" s="107" t="s">
        <v>243</v>
      </c>
      <c r="T37" s="110">
        <v>0.92</v>
      </c>
      <c r="U37" s="110">
        <v>4.1333250000000002E-2</v>
      </c>
      <c r="V37" s="110">
        <v>1.8340039999999998E-2</v>
      </c>
      <c r="W37" s="110">
        <v>8.6470160000000004E-3</v>
      </c>
      <c r="X37" s="110">
        <v>8.8109710000000008E-3</v>
      </c>
      <c r="Y37" s="111">
        <v>2.8687218000000001E-3</v>
      </c>
    </row>
    <row r="38" spans="19:25" x14ac:dyDescent="0.2">
      <c r="S38" s="107"/>
      <c r="T38" s="110">
        <v>0</v>
      </c>
      <c r="U38" s="110">
        <v>0.664940592</v>
      </c>
      <c r="V38" s="110">
        <v>8.3637210000000003E-2</v>
      </c>
      <c r="W38" s="110">
        <v>7.2306549999999999E-3</v>
      </c>
      <c r="X38" s="110">
        <v>0.242487697</v>
      </c>
      <c r="Y38" s="111">
        <v>1.7038463000000001E-3</v>
      </c>
    </row>
    <row r="39" spans="19:25" x14ac:dyDescent="0.2">
      <c r="S39" s="107"/>
      <c r="T39" s="110">
        <v>0</v>
      </c>
      <c r="U39" s="110">
        <v>5.0030155E-2</v>
      </c>
      <c r="V39" s="110">
        <v>0.61140563000000003</v>
      </c>
      <c r="W39" s="110">
        <v>0.105748037</v>
      </c>
      <c r="X39" s="110">
        <v>0.192258869</v>
      </c>
      <c r="Y39" s="111">
        <v>4.0557307000000001E-2</v>
      </c>
    </row>
    <row r="40" spans="19:25" x14ac:dyDescent="0.2">
      <c r="S40" s="107"/>
      <c r="T40" s="110">
        <v>0</v>
      </c>
      <c r="U40" s="110">
        <v>1.498599E-3</v>
      </c>
      <c r="V40" s="110">
        <v>3.8264310000000003E-2</v>
      </c>
      <c r="W40" s="110">
        <v>0.50354208899999997</v>
      </c>
      <c r="X40" s="110">
        <v>5.8271549999999997E-3</v>
      </c>
      <c r="Y40" s="111">
        <v>0.45086785039999999</v>
      </c>
    </row>
    <row r="41" spans="19:25" x14ac:dyDescent="0.2">
      <c r="S41" s="107"/>
      <c r="T41" s="110">
        <v>0</v>
      </c>
      <c r="U41" s="110">
        <v>8.2727132999999994E-2</v>
      </c>
      <c r="V41" s="110">
        <v>4.3977769999999999E-2</v>
      </c>
      <c r="W41" s="110">
        <v>3.6037759999999999E-3</v>
      </c>
      <c r="X41" s="110">
        <v>0.86886949899999999</v>
      </c>
      <c r="Y41" s="111">
        <v>8.2182670000000002E-4</v>
      </c>
    </row>
    <row r="42" spans="19:25" x14ac:dyDescent="0.2">
      <c r="S42" s="107"/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1">
        <v>1</v>
      </c>
    </row>
    <row r="43" spans="19:25" ht="16" x14ac:dyDescent="0.2">
      <c r="S43" s="97"/>
      <c r="T43" s="127"/>
      <c r="U43" s="127"/>
      <c r="V43" s="127"/>
      <c r="W43" s="127"/>
      <c r="X43" s="127"/>
      <c r="Y43" s="118"/>
    </row>
    <row r="44" spans="19:25" ht="16" x14ac:dyDescent="0.2">
      <c r="S44" s="107" t="s">
        <v>244</v>
      </c>
      <c r="T44" s="110">
        <v>0.92</v>
      </c>
      <c r="U44" s="110">
        <v>4.1089466999999998E-2</v>
      </c>
      <c r="V44" s="110">
        <v>1.8214215999999998E-2</v>
      </c>
      <c r="W44" s="110">
        <v>8.6415200999999994E-3</v>
      </c>
      <c r="X44" s="110">
        <v>9.1867979999999995E-3</v>
      </c>
      <c r="Y44" s="111">
        <v>2.8679993000000001E-3</v>
      </c>
    </row>
    <row r="45" spans="19:25" x14ac:dyDescent="0.2">
      <c r="S45" s="107"/>
      <c r="T45" s="110">
        <v>0</v>
      </c>
      <c r="U45" s="110">
        <v>0.65492680700000006</v>
      </c>
      <c r="V45" s="110">
        <v>7.8414339999999999E-2</v>
      </c>
      <c r="W45" s="110">
        <v>6.9304702999999999E-3</v>
      </c>
      <c r="X45" s="110">
        <v>0.25807495699999999</v>
      </c>
      <c r="Y45" s="111">
        <v>1.6534261E-3</v>
      </c>
    </row>
    <row r="46" spans="19:25" x14ac:dyDescent="0.2">
      <c r="S46" s="107"/>
      <c r="T46" s="110">
        <v>0</v>
      </c>
      <c r="U46" s="110">
        <v>4.1980394999999997E-2</v>
      </c>
      <c r="V46" s="110">
        <v>0.60720583800000005</v>
      </c>
      <c r="W46" s="110">
        <v>0.10550495930000001</v>
      </c>
      <c r="X46" s="110">
        <v>0.204792534</v>
      </c>
      <c r="Y46" s="111">
        <v>4.0516273999999998E-2</v>
      </c>
    </row>
    <row r="47" spans="19:25" x14ac:dyDescent="0.2">
      <c r="S47" s="107"/>
      <c r="T47" s="110">
        <v>0</v>
      </c>
      <c r="U47" s="110">
        <v>1.3283660000000001E-3</v>
      </c>
      <c r="V47" s="110">
        <v>3.8176348999999998E-2</v>
      </c>
      <c r="W47" s="110">
        <v>0.50353812350000005</v>
      </c>
      <c r="X47" s="110">
        <v>6.089845E-3</v>
      </c>
      <c r="Y47" s="111">
        <v>0.45086731629999999</v>
      </c>
    </row>
    <row r="48" spans="19:25" x14ac:dyDescent="0.2">
      <c r="S48" s="107"/>
      <c r="T48" s="110">
        <v>0</v>
      </c>
      <c r="U48" s="110">
        <v>1.65112E-2</v>
      </c>
      <c r="V48" s="110">
        <v>8.7671720000000002E-3</v>
      </c>
      <c r="W48" s="110">
        <v>7.0546879999999995E-4</v>
      </c>
      <c r="X48" s="110">
        <v>0.97385709899999995</v>
      </c>
      <c r="Y48" s="111">
        <v>1.5906079999999999E-4</v>
      </c>
    </row>
    <row r="49" spans="19:25" x14ac:dyDescent="0.2">
      <c r="S49" s="107"/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1">
        <v>1</v>
      </c>
    </row>
    <row r="50" spans="19:25" x14ac:dyDescent="0.2">
      <c r="S50" s="107"/>
      <c r="T50" s="127"/>
      <c r="U50" s="127"/>
      <c r="V50" s="127"/>
      <c r="W50" s="127"/>
      <c r="X50" s="127"/>
      <c r="Y50" s="118"/>
    </row>
    <row r="51" spans="19:25" ht="16" x14ac:dyDescent="0.2">
      <c r="S51" s="107" t="s">
        <v>245</v>
      </c>
      <c r="T51" s="110">
        <v>0.92</v>
      </c>
      <c r="U51" s="110">
        <v>4.1269611999999997E-2</v>
      </c>
      <c r="V51" s="110">
        <v>1.8278300000000001E-2</v>
      </c>
      <c r="W51" s="110">
        <v>8.6443010000000001E-3</v>
      </c>
      <c r="X51" s="110">
        <v>8.9394190000000005E-3</v>
      </c>
      <c r="Y51" s="111">
        <v>2.8683632000000001E-3</v>
      </c>
    </row>
    <row r="52" spans="19:25" x14ac:dyDescent="0.2">
      <c r="S52" s="107"/>
      <c r="T52" s="110">
        <v>0</v>
      </c>
      <c r="U52" s="110">
        <v>0.66235045400000003</v>
      </c>
      <c r="V52" s="110">
        <v>8.1105090000000005E-2</v>
      </c>
      <c r="W52" s="110">
        <v>7.0835189999999999E-3</v>
      </c>
      <c r="X52" s="110">
        <v>0.247781999</v>
      </c>
      <c r="Y52" s="111">
        <v>1.6789419000000001E-3</v>
      </c>
    </row>
    <row r="53" spans="19:25" x14ac:dyDescent="0.2">
      <c r="S53" s="107"/>
      <c r="T53" s="110">
        <v>0</v>
      </c>
      <c r="U53" s="110">
        <v>4.7948594999999997E-2</v>
      </c>
      <c r="V53" s="110">
        <v>0.60937023000000001</v>
      </c>
      <c r="W53" s="110">
        <v>0.105628913</v>
      </c>
      <c r="X53" s="110">
        <v>0.19651522299999999</v>
      </c>
      <c r="Y53" s="111">
        <v>4.0537041099999997E-2</v>
      </c>
    </row>
    <row r="54" spans="19:25" x14ac:dyDescent="0.2">
      <c r="S54" s="107"/>
      <c r="T54" s="110">
        <v>0</v>
      </c>
      <c r="U54" s="110">
        <v>1.4542019999999999E-3</v>
      </c>
      <c r="V54" s="110">
        <v>3.8221199999999997E-2</v>
      </c>
      <c r="W54" s="110">
        <v>0.50354013200000003</v>
      </c>
      <c r="X54" s="110">
        <v>5.9168800000000002E-3</v>
      </c>
      <c r="Y54" s="111">
        <v>0.45086758539999999</v>
      </c>
    </row>
    <row r="55" spans="19:25" x14ac:dyDescent="0.2">
      <c r="S55" s="107"/>
      <c r="T55" s="110">
        <v>0</v>
      </c>
      <c r="U55" s="110">
        <v>6.5898979999999996E-2</v>
      </c>
      <c r="V55" s="110">
        <v>2.728278E-2</v>
      </c>
      <c r="W55" s="110">
        <v>2.2005100000000001E-3</v>
      </c>
      <c r="X55" s="110">
        <v>0.90412096900000005</v>
      </c>
      <c r="Y55" s="111">
        <v>4.9676539999999995E-4</v>
      </c>
    </row>
    <row r="56" spans="19:25" x14ac:dyDescent="0.2">
      <c r="S56" s="107"/>
      <c r="T56" s="110">
        <v>0</v>
      </c>
      <c r="U56" s="110">
        <v>0</v>
      </c>
      <c r="V56" s="110">
        <v>0</v>
      </c>
      <c r="W56" s="110">
        <v>0</v>
      </c>
      <c r="X56" s="110">
        <v>0</v>
      </c>
      <c r="Y56" s="111">
        <v>1</v>
      </c>
    </row>
    <row r="57" spans="19:25" x14ac:dyDescent="0.2">
      <c r="S57" s="107"/>
      <c r="T57" s="127"/>
      <c r="U57" s="127"/>
      <c r="V57" s="127"/>
      <c r="W57" s="127"/>
      <c r="X57" s="127"/>
      <c r="Y57" s="118"/>
    </row>
    <row r="58" spans="19:25" ht="16" x14ac:dyDescent="0.2">
      <c r="S58" s="107" t="s">
        <v>246</v>
      </c>
      <c r="T58" s="110">
        <v>0.92</v>
      </c>
      <c r="U58" s="110">
        <v>4.1178548000000002E-2</v>
      </c>
      <c r="V58" s="110">
        <v>1.8245899999999999E-2</v>
      </c>
      <c r="W58" s="110">
        <v>8.6428930000000005E-3</v>
      </c>
      <c r="X58" s="110">
        <v>9.0644780000000008E-3</v>
      </c>
      <c r="Y58" s="111">
        <v>2.8681790000000002E-3</v>
      </c>
    </row>
    <row r="59" spans="19:25" x14ac:dyDescent="0.2">
      <c r="S59" s="107"/>
      <c r="T59" s="110">
        <v>0</v>
      </c>
      <c r="U59" s="110">
        <v>0.65861104100000001</v>
      </c>
      <c r="V59" s="110">
        <v>7.9749319999999999E-2</v>
      </c>
      <c r="W59" s="110">
        <v>7.0061630000000001E-3</v>
      </c>
      <c r="X59" s="110">
        <v>0.252967461</v>
      </c>
      <c r="Y59" s="111">
        <v>1.6660170000000001E-3</v>
      </c>
    </row>
    <row r="60" spans="19:25" x14ac:dyDescent="0.2">
      <c r="S60" s="107"/>
      <c r="T60" s="110">
        <v>0</v>
      </c>
      <c r="U60" s="110">
        <v>4.4942628999999998E-2</v>
      </c>
      <c r="V60" s="110">
        <v>0.60827978000000005</v>
      </c>
      <c r="W60" s="110">
        <v>0.10556626600000001</v>
      </c>
      <c r="X60" s="110">
        <v>0.20068480299999999</v>
      </c>
      <c r="Y60" s="111">
        <v>4.0526522000000002E-2</v>
      </c>
    </row>
    <row r="61" spans="19:25" x14ac:dyDescent="0.2">
      <c r="S61" s="107"/>
      <c r="T61" s="110">
        <v>0</v>
      </c>
      <c r="U61" s="110">
        <v>1.3906140000000001E-3</v>
      </c>
      <c r="V61" s="110">
        <v>3.8198530000000001E-2</v>
      </c>
      <c r="W61" s="110">
        <v>0.50353911500000004</v>
      </c>
      <c r="X61" s="110">
        <v>6.0042899999999998E-3</v>
      </c>
      <c r="Y61" s="111">
        <v>0.45086744899999998</v>
      </c>
    </row>
    <row r="62" spans="19:25" x14ac:dyDescent="0.2">
      <c r="S62" s="107"/>
      <c r="T62" s="110">
        <v>0</v>
      </c>
      <c r="U62" s="110">
        <v>4.1187719999999997E-2</v>
      </c>
      <c r="V62" s="110">
        <v>1.801171E-2</v>
      </c>
      <c r="W62" s="110">
        <v>1.4474959999999999E-3</v>
      </c>
      <c r="X62" s="110">
        <v>0.93902702199999999</v>
      </c>
      <c r="Y62" s="111">
        <v>3.2604699999999999E-4</v>
      </c>
    </row>
    <row r="63" spans="19:25" ht="16" thickBot="1" x14ac:dyDescent="0.25">
      <c r="S63" s="128"/>
      <c r="T63" s="129">
        <v>0</v>
      </c>
      <c r="U63" s="129">
        <v>0</v>
      </c>
      <c r="V63" s="129">
        <v>0</v>
      </c>
      <c r="W63" s="129">
        <v>0</v>
      </c>
      <c r="X63" s="129">
        <v>0</v>
      </c>
      <c r="Y63" s="130">
        <v>1</v>
      </c>
    </row>
  </sheetData>
  <mergeCells count="6">
    <mergeCell ref="T35:Y35"/>
    <mergeCell ref="C2:I2"/>
    <mergeCell ref="AH2:BH2"/>
    <mergeCell ref="C3:I3"/>
    <mergeCell ref="L3:Q3"/>
    <mergeCell ref="T3:Y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582-76E8-BB41-B2A5-F6E934A9B8A3}">
  <dimension ref="A1:AB34"/>
  <sheetViews>
    <sheetView workbookViewId="0">
      <selection activeCell="C6" sqref="C6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215</v>
      </c>
      <c r="AB2" s="160" cm="1">
        <f t="array" ref="AB2">MMULT(TRANSPOSE(w_c_quo),cost_quo)</f>
        <v>28610742.461703051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191</v>
      </c>
      <c r="E3" s="142" t="s">
        <v>192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208</v>
      </c>
      <c r="P3" s="61"/>
      <c r="Q3" s="142" t="s">
        <v>209</v>
      </c>
      <c r="R3" s="61"/>
      <c r="S3" s="142" t="s">
        <v>210</v>
      </c>
      <c r="T3" s="142" t="s">
        <v>211</v>
      </c>
      <c r="U3" s="60"/>
      <c r="V3" s="142" t="s">
        <v>212</v>
      </c>
      <c r="W3" s="60"/>
      <c r="X3" s="142" t="s">
        <v>213</v>
      </c>
      <c r="Y3" s="142" t="s">
        <v>214</v>
      </c>
      <c r="Z3" s="61"/>
      <c r="AA3" s="152" t="s">
        <v>216</v>
      </c>
      <c r="AB3" s="161" cm="1">
        <f t="array" ref="AB3">MMULT(TRANSPOSE(w_e_quo),qaly_quo)</f>
        <v>15290.818231828642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MMULT(H4:M34,costs_quo)</f>
        <v>0</v>
      </c>
      <c r="P4" s="61"/>
      <c r="Q4" s="154" cm="1">
        <f t="array" ref="Q4:Q34">MMULT(H4:M34,qalys_quo)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MMULT(H4:M4,m_P_quo)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MMULT(H5:M5,m_P_quo)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792970.00000000047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MMULT(H6:M6,m_P_quo)</f>
        <v>778.68799999999976</v>
      </c>
      <c r="I7" s="155">
        <v>97.440000000000069</v>
      </c>
      <c r="J7" s="155">
        <v>48.103000000000023</v>
      </c>
      <c r="K7" s="155">
        <v>22.449000000000012</v>
      </c>
      <c r="L7" s="155">
        <v>41.080000000000027</v>
      </c>
      <c r="M7" s="155">
        <v>12.240000000000011</v>
      </c>
      <c r="O7" s="154">
        <v>1043602.4000000006</v>
      </c>
      <c r="Q7" s="154">
        <v>945.69596999999987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cTreatmentRemission+nVisitsRemission*cVisit</f>
        <v>500</v>
      </c>
      <c r="E8" s="104">
        <f>uRemission</f>
        <v>0.95</v>
      </c>
      <c r="G8" s="155">
        <v>4</v>
      </c>
      <c r="H8" s="155" cm="1">
        <f t="array" ref="H8:M8">MMULT(H7:M7,m_P_quo)</f>
        <v>716.39295999999968</v>
      </c>
      <c r="I8" s="155">
        <v>108.78355000000009</v>
      </c>
      <c r="J8" s="155">
        <v>57.356010000000026</v>
      </c>
      <c r="K8" s="155">
        <v>26.226830000000014</v>
      </c>
      <c r="L8" s="155">
        <v>68.898600000000044</v>
      </c>
      <c r="M8" s="155">
        <v>22.342050000000015</v>
      </c>
      <c r="O8" s="154">
        <v>1229928.7080000008</v>
      </c>
      <c r="Q8" s="154">
        <v>927.74057989999983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MMULT(H8:M8,m_P_quo)</f>
        <v>659.08152319999965</v>
      </c>
      <c r="I9" s="155">
        <v>116.28661600000009</v>
      </c>
      <c r="J9" s="155">
        <v>64.376091700000018</v>
      </c>
      <c r="K9" s="155">
        <v>28.880746100000014</v>
      </c>
      <c r="L9" s="155">
        <v>97.230899500000078</v>
      </c>
      <c r="M9" s="155">
        <v>34.14412350000002</v>
      </c>
      <c r="O9" s="154">
        <v>1368215.2051100009</v>
      </c>
      <c r="Q9" s="154">
        <v>909.88719350799988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MMULT(H9:M9,m_P_quo)</f>
        <v>606.35500134399967</v>
      </c>
      <c r="I10" s="155">
        <v>121.4822710950001</v>
      </c>
      <c r="J10" s="155">
        <v>69.741529364000016</v>
      </c>
      <c r="K10" s="155">
        <v>30.687602037000012</v>
      </c>
      <c r="L10" s="155">
        <v>124.59313691500009</v>
      </c>
      <c r="M10" s="155">
        <v>47.140459245000031</v>
      </c>
      <c r="O10" s="154">
        <v>1470759.5808887007</v>
      </c>
      <c r="Q10" s="154">
        <v>892.18690255860986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MMULT(H10:M10,m_P_quo)</f>
        <v>557.84660123647961</v>
      </c>
      <c r="I11" s="155">
        <v>125.22761643865009</v>
      </c>
      <c r="J11" s="155">
        <v>73.884281702380008</v>
      </c>
      <c r="K11" s="155">
        <v>31.868580436540007</v>
      </c>
      <c r="L11" s="155">
        <v>150.2230400243001</v>
      </c>
      <c r="M11" s="155">
        <v>60.949880161650036</v>
      </c>
      <c r="O11" s="154">
        <v>1546793.6006988543</v>
      </c>
      <c r="Q11" s="154">
        <v>874.68932069142102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MMULT(H11:M11,m_P_quo)</f>
        <v>513.21887313756122</v>
      </c>
      <c r="I12" s="155">
        <v>128.00679883449558</v>
      </c>
      <c r="J12" s="155">
        <v>77.11484371306463</v>
      </c>
      <c r="K12" s="155">
        <v>32.595398485991808</v>
      </c>
      <c r="L12" s="155">
        <v>173.77334447079363</v>
      </c>
      <c r="M12" s="155">
        <v>75.290741358093044</v>
      </c>
      <c r="O12" s="154">
        <v>1603137.6699796652</v>
      </c>
      <c r="Q12" s="154">
        <v>857.43541585040418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MMULT(H12:M12,m_P_quo)</f>
        <v>472.16136328655631</v>
      </c>
      <c r="I13" s="155">
        <v>130.09843953203281</v>
      </c>
      <c r="J13" s="155">
        <v>79.652400721878834</v>
      </c>
      <c r="K13" s="155">
        <v>32.997114531331214</v>
      </c>
      <c r="L13" s="155">
        <v>195.13201125141143</v>
      </c>
      <c r="M13" s="155">
        <v>89.958670676789353</v>
      </c>
      <c r="O13" s="154">
        <v>1644753.8512013699</v>
      </c>
      <c r="Q13" s="154">
        <v>840.45556650739923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MMULT(H13:M13,m_P_quo)</f>
        <v>434.38845422363175</v>
      </c>
      <c r="I14" s="155">
        <v>131.66787502138425</v>
      </c>
      <c r="J14" s="155">
        <v>81.650967941198829</v>
      </c>
      <c r="K14" s="155">
        <v>33.168031006812996</v>
      </c>
      <c r="L14" s="155">
        <v>214.31729959108367</v>
      </c>
      <c r="M14" s="155">
        <v>104.80737221588839</v>
      </c>
      <c r="O14" s="154">
        <v>1675212.5383644497</v>
      </c>
      <c r="Q14" s="154">
        <v>823.77029725468321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MMULT(H14:M14,m_P_quo)</f>
        <v>399.63737788574116</v>
      </c>
      <c r="I15" s="155">
        <v>132.81781983124969</v>
      </c>
      <c r="J15" s="155">
        <v>83.21940388122519</v>
      </c>
      <c r="K15" s="155">
        <v>33.175545236822643</v>
      </c>
      <c r="L15" s="155">
        <v>231.41686699600695</v>
      </c>
      <c r="M15" s="155">
        <v>119.73298616895424</v>
      </c>
      <c r="O15" s="154">
        <v>1697069.3026671098</v>
      </c>
      <c r="Q15" s="154">
        <v>807.39205602437357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MMULT(H15:M15,m_P_quo)</f>
        <v>367.66638765488182</v>
      </c>
      <c r="I16" s="155">
        <v>133.61610867826136</v>
      </c>
      <c r="J16" s="155">
        <v>84.435792481216396</v>
      </c>
      <c r="K16" s="155">
        <v>33.067056979452516</v>
      </c>
      <c r="L16" s="155">
        <v>246.55267268066336</v>
      </c>
      <c r="M16" s="155">
        <v>134.66198152552442</v>
      </c>
      <c r="O16" s="154">
        <v>1712155.5380136063</v>
      </c>
      <c r="Q16" s="154">
        <v>791.32715551264846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MMULT(H16:M16,m_P_quo)</f>
        <v>338.25307664249124</v>
      </c>
      <c r="I17" s="155">
        <v>134.11084691574115</v>
      </c>
      <c r="J17" s="155">
        <v>85.357400592659417</v>
      </c>
      <c r="K17" s="155">
        <v>32.875561238457536</v>
      </c>
      <c r="L17" s="155">
        <v>259.86095744437245</v>
      </c>
      <c r="M17" s="155">
        <v>149.54215716627806</v>
      </c>
      <c r="O17" s="154">
        <v>1721794.1387867345</v>
      </c>
      <c r="Q17" s="154">
        <v>775.5774879671302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MMULT(H17:M17,m_P_quo)</f>
        <v>311.19283051109193</v>
      </c>
      <c r="I18" s="155">
        <v>134.33867010142654</v>
      </c>
      <c r="J18" s="155">
        <v>86.027412514161085</v>
      </c>
      <c r="K18" s="155">
        <v>32.623921474552589</v>
      </c>
      <c r="L18" s="155">
        <v>271.48100567518372</v>
      </c>
      <c r="M18" s="155">
        <v>164.33615972358396</v>
      </c>
      <c r="O18" s="154">
        <v>1726954.7233114541</v>
      </c>
      <c r="Q18" s="154">
        <v>760.14189020766503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MMULT(H18:M18,m_P_quo)</f>
        <v>286.29740407020455</v>
      </c>
      <c r="I19" s="155">
        <v>134.32924828470831</v>
      </c>
      <c r="J19" s="155">
        <v>86.479417486347955</v>
      </c>
      <c r="K19" s="155">
        <v>32.328000919511382</v>
      </c>
      <c r="L19" s="155">
        <v>281.54900485209498</v>
      </c>
      <c r="M19" s="155">
        <v>179.01692438713263</v>
      </c>
      <c r="O19" s="154">
        <v>1728362.7269159502</v>
      </c>
      <c r="Q19" s="154">
        <v>745.01716391656919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MMULT(H19:M19,m_P_quo)</f>
        <v>263.39361174458816</v>
      </c>
      <c r="I20" s="155">
        <v>134.10775294809756</v>
      </c>
      <c r="J20" s="155">
        <v>86.740373690264008</v>
      </c>
      <c r="K20" s="155">
        <v>31.998887123409929</v>
      </c>
      <c r="L20" s="155">
        <v>290.19484969272742</v>
      </c>
      <c r="M20" s="155">
        <v>193.56452480091275</v>
      </c>
      <c r="O20" s="154">
        <v>1726574.7013963312</v>
      </c>
      <c r="Q20" s="154">
        <v>730.19880623152005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MMULT(H20:M20,m_P_quo)</f>
        <v>242.32212280502108</v>
      </c>
      <c r="I21" s="155">
        <v>133.69622365727878</v>
      </c>
      <c r="J21" s="155">
        <v>86.832558584666785</v>
      </c>
      <c r="K21" s="155">
        <v>31.64443573269045</v>
      </c>
      <c r="L21" s="155">
        <v>297.54063521389548</v>
      </c>
      <c r="M21" s="155">
        <v>207.96402400644723</v>
      </c>
      <c r="O21" s="154">
        <v>1722029.6062666131</v>
      </c>
      <c r="Q21" s="154">
        <v>715.6815165355091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MMULT(H21:M21,m_P_quo)</f>
        <v>222.93635298061938</v>
      </c>
      <c r="I22" s="155">
        <v>133.11434296810518</v>
      </c>
      <c r="J22" s="155">
        <v>86.774853519957659</v>
      </c>
      <c r="K22" s="155">
        <v>31.270322882095456</v>
      </c>
      <c r="L22" s="155">
        <v>303.70010756306419</v>
      </c>
      <c r="M22" s="155">
        <v>222.20402008615793</v>
      </c>
      <c r="O22" s="154">
        <v>1715083.4387388104</v>
      </c>
      <c r="Q22" s="154">
        <v>701.45953921418732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MMULT(H22:M22,m_P_quo)</f>
        <v>205.1014447421698</v>
      </c>
      <c r="I23" s="155">
        <v>132.37989401060364</v>
      </c>
      <c r="J23" s="155">
        <v>86.58359499065547</v>
      </c>
      <c r="K23" s="155">
        <v>30.880752998847569</v>
      </c>
      <c r="L23" s="155">
        <v>308.77864787462238</v>
      </c>
      <c r="M23" s="155">
        <v>236.27566538310089</v>
      </c>
      <c r="O23" s="154">
        <v>1706032.5078602601</v>
      </c>
      <c r="Q23" s="154">
        <v>687.52689047534273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MMULT(H23:M23,m_P_quo)</f>
        <v>188.6933291627962</v>
      </c>
      <c r="I24" s="155">
        <v>131.50904788099587</v>
      </c>
      <c r="J24" s="155">
        <v>86.273145333970533</v>
      </c>
      <c r="K24" s="155">
        <v>30.478930195443805</v>
      </c>
      <c r="L24" s="155">
        <v>312.87354319421104</v>
      </c>
      <c r="M24" s="155">
        <v>250.17200423258228</v>
      </c>
      <c r="O24" s="154">
        <v>1695129.0751455831</v>
      </c>
      <c r="Q24" s="154">
        <v>673.87750539005185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MMULT(H24:M24,m_P_quo)</f>
        <v>173.59786282977248</v>
      </c>
      <c r="I25" s="155">
        <v>130.51655916690677</v>
      </c>
      <c r="J25" s="155">
        <v>85.856282241220555</v>
      </c>
      <c r="K25" s="155">
        <v>30.067370189445448</v>
      </c>
      <c r="L25" s="155">
        <v>316.07440275212247</v>
      </c>
      <c r="M25" s="155">
        <v>263.88752282053201</v>
      </c>
      <c r="O25" s="154">
        <v>1682591.9165750344</v>
      </c>
      <c r="Q25" s="154">
        <v>660.50533117063378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MMULT(H25:M25,m_P_quo)</f>
        <v>159.71003380339067</v>
      </c>
      <c r="I26" s="155">
        <v>129.41591098725132</v>
      </c>
      <c r="J26" s="155">
        <v>85.344471165096849</v>
      </c>
      <c r="K26" s="155">
        <v>29.648106059203535</v>
      </c>
      <c r="L26" s="155">
        <v>318.46363857927486</v>
      </c>
      <c r="M26" s="155">
        <v>277.41783940578244</v>
      </c>
      <c r="O26" s="154">
        <v>1668613.529831459</v>
      </c>
      <c r="Q26" s="154">
        <v>647.40438483101502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MMULT(H26:M26,m_P_quo)</f>
        <v>146.93323109911941</v>
      </c>
      <c r="I27" s="155">
        <v>128.21943124806523</v>
      </c>
      <c r="J27" s="155">
        <v>84.748061705774958</v>
      </c>
      <c r="K27" s="155">
        <v>29.222824042400202</v>
      </c>
      <c r="L27" s="155">
        <v>320.11696477221585</v>
      </c>
      <c r="M27" s="155">
        <v>290.75948713242406</v>
      </c>
      <c r="O27" s="154">
        <v>1653365.1344482768</v>
      </c>
      <c r="Q27" s="154">
        <v>634.56878759738618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MMULT(H27:M27,m_P_quo)</f>
        <v>135.17857261118985</v>
      </c>
      <c r="I28" s="155">
        <v>126.93839142870871</v>
      </c>
      <c r="J28" s="155">
        <v>84.076434210984672</v>
      </c>
      <c r="K28" s="155">
        <v>28.792953588057539</v>
      </c>
      <c r="L28" s="155">
        <v>321.10389020955472</v>
      </c>
      <c r="M28" s="155">
        <v>303.90975795150416</v>
      </c>
      <c r="O28" s="154">
        <v>1637000.2209527357</v>
      </c>
      <c r="Q28" s="154">
        <v>621.99278434903033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MMULT(H28:M28,m_P_quo)</f>
        <v>124.36428680229466</v>
      </c>
      <c r="I29" s="155">
        <v>125.58309379072487</v>
      </c>
      <c r="J29" s="155">
        <v>83.338113311566076</v>
      </c>
      <c r="K29" s="155">
        <v>28.359727651788369</v>
      </c>
      <c r="L29" s="155">
        <v>321.48819137749558</v>
      </c>
      <c r="M29" s="155">
        <v>316.86658706613008</v>
      </c>
      <c r="O29" s="154">
        <v>1619657.1431186735</v>
      </c>
      <c r="Q29" s="154">
        <v>609.67075355260909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MMULT(H29:M29,m_P_quo)</f>
        <v>114.41514385811108</v>
      </c>
      <c r="I30" s="155">
        <v>124.16295010741376</v>
      </c>
      <c r="J30" s="155">
        <v>82.540859053522212</v>
      </c>
      <c r="K30" s="155">
        <v>27.924223690652042</v>
      </c>
      <c r="L30" s="155">
        <v>321.32835878086564</v>
      </c>
      <c r="M30" s="155">
        <v>329.62846450943482</v>
      </c>
      <c r="O30" s="154">
        <v>1601461.0743707821</v>
      </c>
      <c r="Q30" s="154">
        <v>597.59721125109309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MMULT(H30:M30,m_P_quo)</f>
        <v>105.26193234946219</v>
      </c>
      <c r="I31" s="155">
        <v>122.68655359348718</v>
      </c>
      <c r="J31" s="155">
        <v>81.691742443592801</v>
      </c>
      <c r="K31" s="155">
        <v>27.487392141935466</v>
      </c>
      <c r="L31" s="155">
        <v>320.67801430129373</v>
      </c>
      <c r="M31" s="155">
        <v>342.19436517022825</v>
      </c>
      <c r="O31" s="154">
        <v>1582525.5361869973</v>
      </c>
      <c r="Q31" s="154">
        <v>585.76681140400751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MMULT(H31:M31,m_P_quo)</f>
        <v>96.840977761505201</v>
      </c>
      <c r="I32" s="155">
        <v>121.1617450055488</v>
      </c>
      <c r="J32" s="155">
        <v>80.797209794655089</v>
      </c>
      <c r="K32" s="155">
        <v>27.050076761001279</v>
      </c>
      <c r="L32" s="155">
        <v>319.58629904319002</v>
      </c>
      <c r="M32" s="155">
        <v>354.5636916340992</v>
      </c>
      <c r="O32" s="154">
        <v>1562953.6329072195</v>
      </c>
      <c r="Q32" s="154">
        <v>574.17434404558423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MMULT(H32:M32,m_P_quo)</f>
        <v>89.09369954058478</v>
      </c>
      <c r="I33" s="155">
        <v>119.59567353573375</v>
      </c>
      <c r="J33" s="155">
        <v>79.863138722787596</v>
      </c>
      <c r="K33" s="155">
        <v>26.613029627313956</v>
      </c>
      <c r="L33" s="155">
        <v>318.09823239702973</v>
      </c>
      <c r="M33" s="155">
        <v>366.73622617654979</v>
      </c>
      <c r="O33" s="154">
        <v>1542839.0800134435</v>
      </c>
      <c r="Q33" s="154">
        <v>562.81473218822089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MMULT(H33:M33,m_P_quo)</f>
        <v>81.966203577337993</v>
      </c>
      <c r="I34" s="155">
        <v>117.99485295109855</v>
      </c>
      <c r="J34" s="155">
        <v>78.894887679274802</v>
      </c>
      <c r="K34" s="155">
        <v>26.176922617480965</v>
      </c>
      <c r="L34" s="155">
        <v>316.25504366596624</v>
      </c>
      <c r="M34" s="155">
        <v>378.71208950884107</v>
      </c>
      <c r="O34" s="154">
        <v>1522267.0825710776</v>
      </c>
      <c r="Q34" s="154">
        <v>551.68302805155088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honeticPr fontId="6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854-B147-0945-8887-E46A017C9F6A}">
  <dimension ref="A1:AB34"/>
  <sheetViews>
    <sheetView topLeftCell="K1" workbookViewId="0">
      <selection activeCell="E5" sqref="E5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200</v>
      </c>
      <c r="AB2" s="160" cm="1">
        <f t="array" ref="AB2">MMULT(TRANSPOSE(w_c_trtA),cost_trtA)</f>
        <v>77860259.701636553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189</v>
      </c>
      <c r="E3" s="142" t="s">
        <v>190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201</v>
      </c>
      <c r="P3" s="61"/>
      <c r="Q3" s="142" t="s">
        <v>202</v>
      </c>
      <c r="R3" s="61"/>
      <c r="S3" s="142" t="s">
        <v>203</v>
      </c>
      <c r="T3" s="142" t="s">
        <v>204</v>
      </c>
      <c r="U3" s="60"/>
      <c r="V3" s="142" t="s">
        <v>212</v>
      </c>
      <c r="W3" s="60"/>
      <c r="X3" s="142" t="s">
        <v>205</v>
      </c>
      <c r="Y3" s="142" t="s">
        <v>206</v>
      </c>
      <c r="Z3" s="61"/>
      <c r="AA3" s="152" t="s">
        <v>207</v>
      </c>
      <c r="AB3" s="161" cm="1">
        <f t="array" ref="AB3">MMULT(TRANSPOSE(w_e_trtA),qaly_trtA)</f>
        <v>15945.958774151313</v>
      </c>
    </row>
    <row r="4" spans="1:28" ht="16" x14ac:dyDescent="0.2">
      <c r="A4" s="61"/>
      <c r="B4" s="143" t="s">
        <v>241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MMULT(H4:M34,costs_trtA)</f>
        <v>0</v>
      </c>
      <c r="P4" s="61"/>
      <c r="Q4" s="154" cm="1">
        <f t="array" ref="Q4:Q34">MMULT(H4:M34,qalys_trtA)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/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MMULT(H4:M4,m_P_trtA)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/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MMULT(H5:M5,m_P_trtA)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951370.00000000058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/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MMULT(H6:M6,m_P_trtA)</f>
        <v>778.68799999999976</v>
      </c>
      <c r="I7" s="155">
        <v>96.120000000000061</v>
      </c>
      <c r="J7" s="155">
        <v>47.443000000000019</v>
      </c>
      <c r="K7" s="155">
        <v>22.449000000000012</v>
      </c>
      <c r="L7" s="155">
        <v>43.060000000000031</v>
      </c>
      <c r="M7" s="155">
        <v>12.240000000000011</v>
      </c>
      <c r="O7" s="154">
        <v>1451104.4000000008</v>
      </c>
      <c r="Q7" s="154">
        <v>945.94676999999979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3"/>
      <c r="C8" s="145" t="s">
        <v>11</v>
      </c>
      <c r="D8" s="144">
        <f>nVisitsRemission*cVisit+cTrtA</f>
        <v>10100</v>
      </c>
      <c r="E8" s="104">
        <f>uRemission</f>
        <v>0.95</v>
      </c>
      <c r="G8" s="155">
        <v>4</v>
      </c>
      <c r="H8" s="155" cm="1">
        <f t="array" ref="H8:M8">MMULT(H7:M7,m_P_trtA)</f>
        <v>716.39295999999968</v>
      </c>
      <c r="I8" s="155">
        <v>104.64575000000008</v>
      </c>
      <c r="J8" s="155">
        <v>55.204610000000017</v>
      </c>
      <c r="K8" s="155">
        <v>26.12783000000001</v>
      </c>
      <c r="L8" s="155">
        <v>75.286800000000056</v>
      </c>
      <c r="M8" s="155">
        <v>22.342050000000015</v>
      </c>
      <c r="O8" s="154">
        <v>1931468.7280000011</v>
      </c>
      <c r="Q8" s="154">
        <v>928.60497189999978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3"/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MMULT(H8:M8,m_P_trtA)</f>
        <v>659.08152319999965</v>
      </c>
      <c r="I9" s="155">
        <v>108.10535200000007</v>
      </c>
      <c r="J9" s="155">
        <v>59.974459700000018</v>
      </c>
      <c r="K9" s="155">
        <v>28.508536100000008</v>
      </c>
      <c r="L9" s="155">
        <v>110.23055550000007</v>
      </c>
      <c r="M9" s="155">
        <v>34.09957350000002</v>
      </c>
      <c r="O9" s="154">
        <v>2379511.3211100008</v>
      </c>
      <c r="Q9" s="154">
        <v>911.77820006799971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MMULT(H9:M9,m_P_trtA)</f>
        <v>606.35500134399967</v>
      </c>
      <c r="I10" s="155">
        <v>108.42588905500006</v>
      </c>
      <c r="J10" s="155">
        <v>62.504573844000014</v>
      </c>
      <c r="K10" s="155">
        <v>29.841252237000006</v>
      </c>
      <c r="L10" s="155">
        <v>145.94486877500009</v>
      </c>
      <c r="M10" s="155">
        <v>46.928414745000026</v>
      </c>
      <c r="O10" s="154">
        <v>2789874.5806907015</v>
      </c>
      <c r="Q10" s="154">
        <v>895.53850728320981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MMULT(H10:M10,m_P_trtA)</f>
        <v>557.84660123647961</v>
      </c>
      <c r="I11" s="155">
        <v>106.83870402065006</v>
      </c>
      <c r="J11" s="155">
        <v>63.423944538380013</v>
      </c>
      <c r="K11" s="155">
        <v>30.359862208540008</v>
      </c>
      <c r="L11" s="155">
        <v>181.17390974430009</v>
      </c>
      <c r="M11" s="155">
        <v>60.356978251650027</v>
      </c>
      <c r="O11" s="154">
        <v>3161799.6187649351</v>
      </c>
      <c r="Q11" s="154">
        <v>879.94042604906099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MMULT(H11:M11,m_P_trtA)</f>
        <v>513.21887313756122</v>
      </c>
      <c r="I12" s="155">
        <v>104.13216309705155</v>
      </c>
      <c r="J12" s="155">
        <v>63.224901357692609</v>
      </c>
      <c r="K12" s="155">
        <v>30.271988797391806</v>
      </c>
      <c r="L12" s="155">
        <v>215.13315736480959</v>
      </c>
      <c r="M12" s="155">
        <v>74.018916245493031</v>
      </c>
      <c r="O12" s="154">
        <v>3496985.7802147362</v>
      </c>
      <c r="Q12" s="154">
        <v>865.0192720905585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MMULT(H12:M12,m_P_trtA)</f>
        <v>472.16136328655631</v>
      </c>
      <c r="I13" s="155">
        <v>100.81075788514242</v>
      </c>
      <c r="J13" s="155">
        <v>62.277465600589636</v>
      </c>
      <c r="K13" s="155">
        <v>29.751918333725413</v>
      </c>
      <c r="L13" s="155">
        <v>247.35718368966673</v>
      </c>
      <c r="M13" s="155">
        <v>87.641311204319351</v>
      </c>
      <c r="O13" s="154">
        <v>3798247.0255485368</v>
      </c>
      <c r="Q13" s="154">
        <v>850.7918459072248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MMULT(H13:M13,m_P_trtA)</f>
        <v>434.38845422363175</v>
      </c>
      <c r="I14" s="155">
        <v>97.19607774349322</v>
      </c>
      <c r="J14" s="155">
        <v>60.851950168182078</v>
      </c>
      <c r="K14" s="155">
        <v>28.939192639816717</v>
      </c>
      <c r="L14" s="155">
        <v>277.59465077038027</v>
      </c>
      <c r="M14" s="155">
        <v>101.02967445449579</v>
      </c>
      <c r="O14" s="154">
        <v>4068743.007625089</v>
      </c>
      <c r="Q14" s="154">
        <v>837.25891483951034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MMULT(H14:M14,m_P_trtA)</f>
        <v>399.63737788574116</v>
      </c>
      <c r="I15" s="155">
        <v>93.491363768268911</v>
      </c>
      <c r="J15" s="155">
        <v>59.141453099425846</v>
      </c>
      <c r="K15" s="155">
        <v>27.941273387371993</v>
      </c>
      <c r="L15" s="155">
        <v>305.73622071677858</v>
      </c>
      <c r="M15" s="155">
        <v>114.05231114241332</v>
      </c>
      <c r="O15" s="154">
        <v>4311578.0161715895</v>
      </c>
      <c r="Q15" s="154">
        <v>824.40847780280376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MMULT(H15:M15,m_P_trtA)</f>
        <v>367.66638765488182</v>
      </c>
      <c r="I16" s="155">
        <v>89.82305241296875</v>
      </c>
      <c r="J16" s="155">
        <v>57.281181670733609</v>
      </c>
      <c r="K16" s="155">
        <v>26.838228437457289</v>
      </c>
      <c r="L16" s="155">
        <v>331.76526565722759</v>
      </c>
      <c r="M16" s="155">
        <v>126.62588416673071</v>
      </c>
      <c r="O16" s="154">
        <v>4529617.4747770391</v>
      </c>
      <c r="Q16" s="154">
        <v>812.21907737636593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MMULT(H16:M16,m_P_trtA)</f>
        <v>338.25307664249124</v>
      </c>
      <c r="I17" s="155">
        <v>86.267667847855023</v>
      </c>
      <c r="J17" s="155">
        <v>55.363906075279814</v>
      </c>
      <c r="K17" s="155">
        <v>25.687955345887509</v>
      </c>
      <c r="L17" s="155">
        <v>355.72430712489961</v>
      </c>
      <c r="M17" s="155">
        <v>138.70308696358649</v>
      </c>
      <c r="O17" s="154">
        <v>4725424.4582846593</v>
      </c>
      <c r="Q17" s="154">
        <v>800.66275335522641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MMULT(H17:M17,m_P_trtA)</f>
        <v>311.19283051109193</v>
      </c>
      <c r="I18" s="155">
        <v>82.869319379492325</v>
      </c>
      <c r="J18" s="155">
        <v>53.451812801346591</v>
      </c>
      <c r="K18" s="155">
        <v>24.531094350660641</v>
      </c>
      <c r="L18" s="155">
        <v>377.69227608817238</v>
      </c>
      <c r="M18" s="155">
        <v>150.26266686923586</v>
      </c>
      <c r="O18" s="154">
        <v>4901257.3406027509</v>
      </c>
      <c r="Q18" s="154">
        <v>789.70747490400288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MMULT(H18:M18,m_P_trtA)</f>
        <v>286.29740407020455</v>
      </c>
      <c r="I19" s="155">
        <v>79.6511352840554</v>
      </c>
      <c r="J19" s="155">
        <v>51.585353707393786</v>
      </c>
      <c r="K19" s="155">
        <v>23.395247400643228</v>
      </c>
      <c r="L19" s="155">
        <v>397.76920021066962</v>
      </c>
      <c r="M19" s="155">
        <v>161.30165932703315</v>
      </c>
      <c r="O19" s="154">
        <v>5059095.0249704104</v>
      </c>
      <c r="Q19" s="154">
        <v>779.31903351679057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MMULT(H19:M19,m_P_trtA)</f>
        <v>263.39361174458816</v>
      </c>
      <c r="I20" s="155">
        <v>76.62275982772934</v>
      </c>
      <c r="J20" s="155">
        <v>49.789728206384758</v>
      </c>
      <c r="K20" s="155">
        <v>22.298400797132729</v>
      </c>
      <c r="L20" s="155">
        <v>416.06597876684214</v>
      </c>
      <c r="M20" s="155">
        <v>171.8295206573226</v>
      </c>
      <c r="O20" s="154">
        <v>5200671.7428489225</v>
      </c>
      <c r="Q20" s="154">
        <v>769.46245153499103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MMULT(H20:M20,m_P_trtA)</f>
        <v>242.32212280502108</v>
      </c>
      <c r="I21" s="155">
        <v>73.785280460909576</v>
      </c>
      <c r="J21" s="155">
        <v>48.079564969020609</v>
      </c>
      <c r="K21" s="155">
        <v>21.251595746969961</v>
      </c>
      <c r="L21" s="155">
        <v>432.69763500204613</v>
      </c>
      <c r="M21" s="155">
        <v>181.86380101603234</v>
      </c>
      <c r="O21" s="154">
        <v>5327512.4513647724</v>
      </c>
      <c r="Q21" s="154">
        <v>760.10298845947909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MMULT(H21:M21,m_P_trtA)</f>
        <v>222.93635298061938</v>
      </c>
      <c r="I22" s="155">
        <v>71.134469388334253</v>
      </c>
      <c r="J22" s="155">
        <v>46.462265620972708</v>
      </c>
      <c r="K22" s="155">
        <v>20.260953846888285</v>
      </c>
      <c r="L22" s="155">
        <v>447.77893906101627</v>
      </c>
      <c r="M22" s="155">
        <v>191.42701910216883</v>
      </c>
      <c r="O22" s="154">
        <v>5440964.8772564111</v>
      </c>
      <c r="Q22" s="154">
        <v>751.20683012608936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MMULT(H22:M22,m_P_trtA)</f>
        <v>205.1014447421698</v>
      </c>
      <c r="I23" s="155">
        <v>68.662914813717208</v>
      </c>
      <c r="J23" s="155">
        <v>44.940370453984016</v>
      </c>
      <c r="K23" s="155">
        <v>19.329180296396245</v>
      </c>
      <c r="L23" s="155">
        <v>461.42164136046387</v>
      </c>
      <c r="M23" s="155">
        <v>200.54444833326855</v>
      </c>
      <c r="O23" s="154">
        <v>5542226.89158771</v>
      </c>
      <c r="Q23" s="154">
        <v>742.74153699971293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MMULT(H23:M23,m_P_trtA)</f>
        <v>188.6933291627962</v>
      </c>
      <c r="I24" s="155">
        <v>66.36141821593317</v>
      </c>
      <c r="J24" s="155">
        <v>43.513218077029983</v>
      </c>
      <c r="K24" s="155">
        <v>18.456660163717423</v>
      </c>
      <c r="L24" s="155">
        <v>473.73279491387603</v>
      </c>
      <c r="M24" s="155">
        <v>209.24257946664687</v>
      </c>
      <c r="O24" s="154">
        <v>5632369.1837285012</v>
      </c>
      <c r="Q24" s="154">
        <v>734.67631485462914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MMULT(H24:M24,m_P_trtA)</f>
        <v>173.59786282977248</v>
      </c>
      <c r="I25" s="155">
        <v>64.219905100625411</v>
      </c>
      <c r="J25" s="155">
        <v>42.178100208391861</v>
      </c>
      <c r="K25" s="155">
        <v>17.642246085041172</v>
      </c>
      <c r="L25" s="155">
        <v>484.81380923584902</v>
      </c>
      <c r="M25" s="155">
        <v>217.54807654031973</v>
      </c>
      <c r="O25" s="154">
        <v>5712353.7521164529</v>
      </c>
      <c r="Q25" s="154">
        <v>726.98215783095247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MMULT(H25:M25,m_P_trtA)</f>
        <v>159.71003380339067</v>
      </c>
      <c r="I26" s="155">
        <v>62.228012652031737</v>
      </c>
      <c r="J26" s="155">
        <v>40.93105828830366</v>
      </c>
      <c r="K26" s="155">
        <v>16.883816702077091</v>
      </c>
      <c r="L26" s="155">
        <v>494.75999127560829</v>
      </c>
      <c r="M26" s="155">
        <v>225.48708727858826</v>
      </c>
      <c r="O26" s="154">
        <v>5783048.899290869</v>
      </c>
      <c r="Q26" s="154">
        <v>719.6319020464498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MMULT(H26:M26,m_P_trtA)</f>
        <v>146.93323109911941</v>
      </c>
      <c r="I27" s="155">
        <v>60.375462653917523</v>
      </c>
      <c r="J27" s="155">
        <v>39.767427662113121</v>
      </c>
      <c r="K27" s="155">
        <v>16.178667432318001</v>
      </c>
      <c r="L27" s="155">
        <v>503.66040635800869</v>
      </c>
      <c r="M27" s="155">
        <v>233.08480479452297</v>
      </c>
      <c r="O27" s="154">
        <v>5845241.4080591472</v>
      </c>
      <c r="Q27" s="154">
        <v>712.60021819040981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MMULT(H27:M27,m_P_trtA)</f>
        <v>135.17857261118985</v>
      </c>
      <c r="I28" s="155">
        <v>58.652291790268208</v>
      </c>
      <c r="J28" s="155">
        <v>38.682204919838</v>
      </c>
      <c r="K28" s="155">
        <v>15.523780176467163</v>
      </c>
      <c r="L28" s="155">
        <v>511.59794536317042</v>
      </c>
      <c r="M28" s="155">
        <v>240.36520513906606</v>
      </c>
      <c r="O28" s="154">
        <v>5899646.4905493222</v>
      </c>
      <c r="Q28" s="154">
        <v>705.86356383825091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MMULT(H28:M28,m_P_trtA)</f>
        <v>124.36428680229466</v>
      </c>
      <c r="I29" s="155">
        <v>57.048987447489154</v>
      </c>
      <c r="J29" s="155">
        <v>37.670292045608484</v>
      </c>
      <c r="K29" s="155">
        <v>14.916006552321182</v>
      </c>
      <c r="L29" s="155">
        <v>518.64952093380998</v>
      </c>
      <c r="M29" s="155">
        <v>247.3509062184763</v>
      </c>
      <c r="O29" s="154">
        <v>5946915.996089696</v>
      </c>
      <c r="Q29" s="154">
        <v>699.40011035442228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MMULT(H29:M29,m_P_trtA)</f>
        <v>114.41514385811108</v>
      </c>
      <c r="I30" s="155">
        <v>55.556561201939324</v>
      </c>
      <c r="J30" s="155">
        <v>36.72665524511406</v>
      </c>
      <c r="K30" s="155">
        <v>14.352189951024812</v>
      </c>
      <c r="L30" s="155">
        <v>524.88634057678962</v>
      </c>
      <c r="M30" s="155">
        <v>254.06310916702083</v>
      </c>
      <c r="O30" s="154">
        <v>5987645.2623772752</v>
      </c>
      <c r="Q30" s="154">
        <v>693.18965487016771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MMULT(H30:M30,m_P_trtA)</f>
        <v>105.26193234946219</v>
      </c>
      <c r="I31" s="155">
        <v>54.16658154795762</v>
      </c>
      <c r="J31" s="155">
        <v>35.846425047743729</v>
      </c>
      <c r="K31" s="155">
        <v>13.829244700860627</v>
      </c>
      <c r="L31" s="155">
        <v>530.37422170899356</v>
      </c>
      <c r="M31" s="155">
        <v>260.52159464498197</v>
      </c>
      <c r="O31" s="154">
        <v>6022378.9071412887</v>
      </c>
      <c r="Q31" s="154">
        <v>687.21352461141669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MMULT(H31:M31,m_P_trtA)</f>
        <v>96.840977761505201</v>
      </c>
      <c r="I32" s="155">
        <v>52.871180310212644</v>
      </c>
      <c r="J32" s="155">
        <v>35.024956282564204</v>
      </c>
      <c r="K32" s="155">
        <v>13.344205431086497</v>
      </c>
      <c r="L32" s="155">
        <v>535.17392545426196</v>
      </c>
      <c r="M32" s="155">
        <v>266.74475476036923</v>
      </c>
      <c r="O32" s="154">
        <v>6051615.7868200559</v>
      </c>
      <c r="Q32" s="154">
        <v>681.45447853185294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MMULT(H32:M32,m_P_trtA)</f>
        <v>89.09369954058478</v>
      </c>
      <c r="I33" s="155">
        <v>51.663042412926949</v>
      </c>
      <c r="J33" s="155">
        <v>34.257860881886835</v>
      </c>
      <c r="K33" s="155">
        <v>12.894255935542931</v>
      </c>
      <c r="L33" s="155">
        <v>539.34149402470007</v>
      </c>
      <c r="M33" s="155">
        <v>272.74964720435815</v>
      </c>
      <c r="O33" s="154">
        <v>6075813.2935643345</v>
      </c>
      <c r="Q33" s="154">
        <v>675.89660955036061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MMULT(H33:M33,m_P_trtA)</f>
        <v>81.966203577337993</v>
      </c>
      <c r="I34" s="155">
        <v>50.535385470020117</v>
      </c>
      <c r="J34" s="155">
        <v>33.541022498260645</v>
      </c>
      <c r="K34" s="155">
        <v>12.47674409546034</v>
      </c>
      <c r="L34" s="155">
        <v>542.92858198356817</v>
      </c>
      <c r="M34" s="155">
        <v>278.55206237535248</v>
      </c>
      <c r="O34" s="154">
        <v>6095391.1197882267</v>
      </c>
      <c r="Q34" s="154">
        <v>670.52524952347619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B37-8384-1746-A5BC-4E8C7830136D}">
  <dimension ref="A1:AB34"/>
  <sheetViews>
    <sheetView workbookViewId="0">
      <selection activeCell="E8" sqref="E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MMULT(TRANSPOSE(w_c_trtB),cost_trtB)</f>
        <v>58629019.240626238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217</v>
      </c>
      <c r="E3" s="142" t="s">
        <v>218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219</v>
      </c>
      <c r="P3" s="61"/>
      <c r="Q3" s="142" t="s">
        <v>220</v>
      </c>
      <c r="R3" s="61"/>
      <c r="S3" s="142" t="s">
        <v>224</v>
      </c>
      <c r="T3" s="142" t="s">
        <v>223</v>
      </c>
      <c r="U3" s="60"/>
      <c r="V3" s="142" t="s">
        <v>212</v>
      </c>
      <c r="W3" s="60"/>
      <c r="X3" s="142" t="s">
        <v>221</v>
      </c>
      <c r="Y3" s="142" t="s">
        <v>222</v>
      </c>
      <c r="Z3" s="61"/>
      <c r="AA3" s="152" t="s">
        <v>226</v>
      </c>
      <c r="AB3" s="161" cm="1">
        <f t="array" ref="AB3">MMULT(TRANSPOSE(w_e_trtB),qaly_trtB)</f>
        <v>15525.699710957386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MMULT(H4:M34,costs_trtB)</f>
        <v>0</v>
      </c>
      <c r="P4" s="61"/>
      <c r="Q4" s="154" cm="1">
        <f t="array" ref="Q4:Q34">MMULT(H4:M34,qalys_trtB)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MMULT(H4:M4,m_P_trtB)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MMULT(H5:M5,m_P_trtB)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910120.00000000058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MMULT(H6:M6,m_P_trtB)</f>
        <v>778.68799999999976</v>
      </c>
      <c r="I7" s="155">
        <v>97.11000000000007</v>
      </c>
      <c r="J7" s="155">
        <v>47.773000000000017</v>
      </c>
      <c r="K7" s="155">
        <v>22.449000000000012</v>
      </c>
      <c r="L7" s="155">
        <v>41.74000000000003</v>
      </c>
      <c r="M7" s="155">
        <v>12.240000000000011</v>
      </c>
      <c r="O7" s="154">
        <v>1337382.4000000008</v>
      </c>
      <c r="Q7" s="154">
        <v>945.79826999999989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nVisitsRemission*cVisit+cTrtB</f>
        <v>7600</v>
      </c>
      <c r="E8" s="104">
        <f>uRemission</f>
        <v>0.95</v>
      </c>
      <c r="G8" s="155">
        <v>4</v>
      </c>
      <c r="H8" s="155" cm="1">
        <f t="array" ref="H8:M8">MMULT(H7:M7,m_P_trtB)</f>
        <v>716.39295999999968</v>
      </c>
      <c r="I8" s="155">
        <v>107.78375000000007</v>
      </c>
      <c r="J8" s="155">
        <v>56.323210000000017</v>
      </c>
      <c r="K8" s="155">
        <v>26.177330000000012</v>
      </c>
      <c r="L8" s="155">
        <v>70.980700000000056</v>
      </c>
      <c r="M8" s="155">
        <v>22.342050000000015</v>
      </c>
      <c r="O8" s="154">
        <v>1724748.4880000008</v>
      </c>
      <c r="Q8" s="154">
        <v>928.08764289999988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MMULT(H8:M8,m_P_trtB)</f>
        <v>659.08152319999965</v>
      </c>
      <c r="I9" s="155">
        <v>114.37370200000005</v>
      </c>
      <c r="J9" s="155">
        <v>62.338447700000017</v>
      </c>
      <c r="K9" s="155">
        <v>28.701076100000009</v>
      </c>
      <c r="L9" s="155">
        <v>101.38340250000007</v>
      </c>
      <c r="M9" s="155">
        <v>34.12184850000002</v>
      </c>
      <c r="O9" s="154">
        <v>2068213.5711600012</v>
      </c>
      <c r="Q9" s="154">
        <v>910.6372985979998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MMULT(H9:M9,m_P_trtB)</f>
        <v>606.35500134399967</v>
      </c>
      <c r="I10" s="155">
        <v>118.52457704500006</v>
      </c>
      <c r="J10" s="155">
        <v>66.498625164000018</v>
      </c>
      <c r="K10" s="155">
        <v>30.292120437000008</v>
      </c>
      <c r="L10" s="155">
        <v>131.29234326500008</v>
      </c>
      <c r="M10" s="155">
        <v>47.037332745000022</v>
      </c>
      <c r="O10" s="154">
        <v>2369028.4274052009</v>
      </c>
      <c r="Q10" s="154">
        <v>893.50354246910979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MMULT(H10:M10,m_P_trtB)</f>
        <v>557.84660123647961</v>
      </c>
      <c r="I11" s="155">
        <v>121.18704386585006</v>
      </c>
      <c r="J11" s="155">
        <v>69.332109149580006</v>
      </c>
      <c r="K11" s="155">
        <v>31.184404006540007</v>
      </c>
      <c r="L11" s="155">
        <v>159.78105479990009</v>
      </c>
      <c r="M11" s="155">
        <v>60.668786941650026</v>
      </c>
      <c r="O11" s="154">
        <v>2630904.6454933053</v>
      </c>
      <c r="Q11" s="154">
        <v>876.7353848368889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MMULT(H11:M11,m_P_trtB)</f>
        <v>513.21887313756122</v>
      </c>
      <c r="I12" s="155">
        <v>122.91299841609754</v>
      </c>
      <c r="J12" s="155">
        <v>71.227553745386601</v>
      </c>
      <c r="K12" s="155">
        <v>31.570484388071804</v>
      </c>
      <c r="L12" s="155">
        <v>186.36832156828962</v>
      </c>
      <c r="M12" s="155">
        <v>74.701768744593025</v>
      </c>
      <c r="O12" s="154">
        <v>2858333.6661548065</v>
      </c>
      <c r="Q12" s="154">
        <v>860.36915477253251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MMULT(H12:M12,m_P_trtB)</f>
        <v>472.16136328655631</v>
      </c>
      <c r="I13" s="155">
        <v>124.02523604007398</v>
      </c>
      <c r="J13" s="155">
        <v>72.461783418045215</v>
      </c>
      <c r="K13" s="155">
        <v>31.601563987219507</v>
      </c>
      <c r="L13" s="155">
        <v>210.84156654887948</v>
      </c>
      <c r="M13" s="155">
        <v>88.908486719225337</v>
      </c>
      <c r="O13" s="154">
        <v>3055717.4085490205</v>
      </c>
      <c r="Q13" s="154">
        <v>844.42748848546807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MMULT(H13:M13,m_P_trtB)</f>
        <v>434.38845422363175</v>
      </c>
      <c r="I14" s="155">
        <v>124.71488608518854</v>
      </c>
      <c r="J14" s="155">
        <v>73.228146116393006</v>
      </c>
      <c r="K14" s="155">
        <v>31.391663139182103</v>
      </c>
      <c r="L14" s="155">
        <v>233.14765992213029</v>
      </c>
      <c r="M14" s="155">
        <v>103.12919051347411</v>
      </c>
      <c r="O14" s="154">
        <v>3226995.2700115461</v>
      </c>
      <c r="Q14" s="154">
        <v>828.92081337736602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MMULT(H14:M14,m_P_trtB)</f>
        <v>399.63737788574116</v>
      </c>
      <c r="I15" s="155">
        <v>125.09731876614423</v>
      </c>
      <c r="J15" s="155">
        <v>73.660158317450311</v>
      </c>
      <c r="K15" s="155">
        <v>31.023938029286324</v>
      </c>
      <c r="L15" s="155">
        <v>253.3257680752717</v>
      </c>
      <c r="M15" s="155">
        <v>117.25543892610607</v>
      </c>
      <c r="O15" s="154">
        <v>3375540.0495629804</v>
      </c>
      <c r="Q15" s="154">
        <v>813.84982816738898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MMULT(H15:M15,m_P_trtB)</f>
        <v>367.66638765488182</v>
      </c>
      <c r="I16" s="155">
        <v>125.24419545417508</v>
      </c>
      <c r="J16" s="155">
        <v>73.849544368521904</v>
      </c>
      <c r="K16" s="155">
        <v>30.557366541118125</v>
      </c>
      <c r="L16" s="155">
        <v>271.46629494201795</v>
      </c>
      <c r="M16" s="155">
        <v>131.2162110392849</v>
      </c>
      <c r="O16" s="154">
        <v>3504182.1774933147</v>
      </c>
      <c r="Q16" s="154">
        <v>799.20808830592591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MMULT(H16:M16,m_P_trtB)</f>
        <v>338.25307664249124</v>
      </c>
      <c r="I17" s="155">
        <v>125.20182724174543</v>
      </c>
      <c r="J17" s="155">
        <v>73.859331094944736</v>
      </c>
      <c r="K17" s="155">
        <v>30.032778802386169</v>
      </c>
      <c r="L17" s="155">
        <v>287.68596023564413</v>
      </c>
      <c r="M17" s="155">
        <v>144.96702598278804</v>
      </c>
      <c r="O17" s="154">
        <v>3615283.8734766492</v>
      </c>
      <c r="Q17" s="154">
        <v>784.98427228535888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MMULT(H17:M17,m_P_trtB)</f>
        <v>311.19283051109193</v>
      </c>
      <c r="I18" s="155">
        <v>125.00168491285785</v>
      </c>
      <c r="J18" s="155">
        <v>73.733060661179849</v>
      </c>
      <c r="K18" s="155">
        <v>29.477819831859712</v>
      </c>
      <c r="L18" s="155">
        <v>302.11282763914858</v>
      </c>
      <c r="M18" s="155">
        <v>158.48177644386183</v>
      </c>
      <c r="O18" s="154">
        <v>3710823.6427777419</v>
      </c>
      <c r="Q18" s="154">
        <v>771.16398770050512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MMULT(H18:M18,m_P_trtB)</f>
        <v>286.29740407020455</v>
      </c>
      <c r="I19" s="155">
        <v>124.66641596310309</v>
      </c>
      <c r="J19" s="155">
        <v>73.50113731898297</v>
      </c>
      <c r="K19" s="155">
        <v>28.910797320217753</v>
      </c>
      <c r="L19" s="155">
        <v>314.87744995929268</v>
      </c>
      <c r="M19" s="155">
        <v>171.74679536819872</v>
      </c>
      <c r="O19" s="154">
        <v>3792473.5717573185</v>
      </c>
      <c r="Q19" s="154">
        <v>757.73112211081957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MMULT(H19:M19,m_P_trtB)</f>
        <v>263.39361174458816</v>
      </c>
      <c r="I20" s="155">
        <v>124.21329344221981</v>
      </c>
      <c r="J20" s="155">
        <v>73.185135433893848</v>
      </c>
      <c r="K20" s="155">
        <v>28.343543298658368</v>
      </c>
      <c r="L20" s="155">
        <v>326.10776191834287</v>
      </c>
      <c r="M20" s="155">
        <v>184.75665416229671</v>
      </c>
      <c r="O20" s="154">
        <v>3861663.4397398671</v>
      </c>
      <c r="Q20" s="154">
        <v>744.66880554174895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MMULT(H20:M20,m_P_trtB)</f>
        <v>242.32212280502108</v>
      </c>
      <c r="I21" s="155">
        <v>123.65619904983441</v>
      </c>
      <c r="J21" s="155">
        <v>72.800692861933243</v>
      </c>
      <c r="K21" s="155">
        <v>27.783478081859144</v>
      </c>
      <c r="L21" s="155">
        <v>335.92625855465889</v>
      </c>
      <c r="M21" s="155">
        <v>197.51124864669299</v>
      </c>
      <c r="O21" s="154">
        <v>3919631.1636001943</v>
      </c>
      <c r="Q21" s="154">
        <v>731.96006763724313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MMULT(H21:M21,m_P_trtB)</f>
        <v>222.93635298061938</v>
      </c>
      <c r="I22" s="155">
        <v>123.00677085011282</v>
      </c>
      <c r="J22" s="155">
        <v>72.359439738976533</v>
      </c>
      <c r="K22" s="155">
        <v>27.235064198269772</v>
      </c>
      <c r="L22" s="155">
        <v>344.44855844849167</v>
      </c>
      <c r="M22" s="155">
        <v>210.0138137835296</v>
      </c>
      <c r="O22" s="154">
        <v>3967461.3330892073</v>
      </c>
      <c r="Q22" s="154">
        <v>719.58826718083617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MMULT(H22:M22,m_P_trtB)</f>
        <v>205.1014447421698</v>
      </c>
      <c r="I23" s="155">
        <v>122.27507536443247</v>
      </c>
      <c r="J23" s="155">
        <v>71.870277951377815</v>
      </c>
      <c r="K23" s="155">
        <v>26.700811589787563</v>
      </c>
      <c r="L23" s="155">
        <v>351.78279767948112</v>
      </c>
      <c r="M23" s="155">
        <v>222.269592672751</v>
      </c>
      <c r="O23" s="154">
        <v>4006114.2130801398</v>
      </c>
      <c r="Q23" s="154">
        <v>707.5373583761791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MMULT(H23:M23,m_P_trtB)</f>
        <v>188.6933291627962</v>
      </c>
      <c r="I24" s="155">
        <v>121.47000893591699</v>
      </c>
      <c r="J24" s="155">
        <v>71.34022771198714</v>
      </c>
      <c r="K24" s="155">
        <v>26.181961935022152</v>
      </c>
      <c r="L24" s="155">
        <v>358.02951436612193</v>
      </c>
      <c r="M24" s="155">
        <v>234.28495788815542</v>
      </c>
      <c r="O24" s="154">
        <v>4036447.479898815</v>
      </c>
      <c r="Q24" s="154">
        <v>695.79204364633779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MMULT(H24:M24,m_P_trtB)</f>
        <v>173.59786282977248</v>
      </c>
      <c r="I25" s="155">
        <v>120.59954480137498</v>
      </c>
      <c r="J25" s="155">
        <v>70.774987631774664</v>
      </c>
      <c r="K25" s="155">
        <v>25.678948415937111</v>
      </c>
      <c r="L25" s="155">
        <v>363.28181556222518</v>
      </c>
      <c r="M25" s="155">
        <v>246.06684075891539</v>
      </c>
      <c r="O25" s="154">
        <v>4059232.5841536298</v>
      </c>
      <c r="Q25" s="154">
        <v>684.33784968739371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MMULT(H25:M25,m_P_trtB)</f>
        <v>159.71003380339067</v>
      </c>
      <c r="I26" s="155">
        <v>119.67089188894911</v>
      </c>
      <c r="J26" s="155">
        <v>70.179306203461351</v>
      </c>
      <c r="K26" s="155">
        <v>25.191700981032483</v>
      </c>
      <c r="L26" s="155">
        <v>367.6256995770791</v>
      </c>
      <c r="M26" s="155">
        <v>257.6223675460871</v>
      </c>
      <c r="O26" s="154">
        <v>4075167.2112329951</v>
      </c>
      <c r="Q26" s="154">
        <v>673.16115302152025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MMULT(H26:M26,m_P_trtB)</f>
        <v>146.93323109911941</v>
      </c>
      <c r="I27" s="155">
        <v>118.69060269432586</v>
      </c>
      <c r="J27" s="155">
        <v>69.557229623403529</v>
      </c>
      <c r="K27" s="155">
        <v>24.719846759069352</v>
      </c>
      <c r="L27" s="155">
        <v>371.14045683652995</v>
      </c>
      <c r="M27" s="155">
        <v>268.95863298755171</v>
      </c>
      <c r="O27" s="154">
        <v>4084884.9343674635</v>
      </c>
      <c r="Q27" s="154">
        <v>662.24917333071107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MMULT(H27:M27,m_P_trtB)</f>
        <v>135.17857261118985</v>
      </c>
      <c r="I28" s="155">
        <v>117.66465133436034</v>
      </c>
      <c r="J28" s="155">
        <v>68.91226870850646</v>
      </c>
      <c r="K28" s="155">
        <v>24.262840134036402</v>
      </c>
      <c r="L28" s="155">
        <v>373.89910318277384</v>
      </c>
      <c r="M28" s="155">
        <v>280.08256402913293</v>
      </c>
      <c r="O28" s="154">
        <v>4088962.8521349486</v>
      </c>
      <c r="Q28" s="154">
        <v>651.58994704035479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MMULT(H28:M28,m_P_trtB)</f>
        <v>124.36428680229466</v>
      </c>
      <c r="I29" s="155">
        <v>116.59849368794094</v>
      </c>
      <c r="J29" s="155">
        <v>68.247512912948736</v>
      </c>
      <c r="K29" s="155">
        <v>23.820046099406071</v>
      </c>
      <c r="L29" s="155">
        <v>375.9688184079601</v>
      </c>
      <c r="M29" s="155">
        <v>291.00084208944929</v>
      </c>
      <c r="O29" s="154">
        <v>4087927.7722806539</v>
      </c>
      <c r="Q29" s="154">
        <v>641.17228949922446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MMULT(H29:M29,m_P_trtB)</f>
        <v>114.41514385811108</v>
      </c>
      <c r="I30" s="155">
        <v>115.49711635556059</v>
      </c>
      <c r="J30" s="155">
        <v>67.565709709818321</v>
      </c>
      <c r="K30" s="155">
        <v>23.390792854668291</v>
      </c>
      <c r="L30" s="155">
        <v>377.41137438765946</v>
      </c>
      <c r="M30" s="155">
        <v>301.71986283418204</v>
      </c>
      <c r="O30" s="154">
        <v>4082261.3356541051</v>
      </c>
      <c r="Q30" s="154">
        <v>630.98575124093247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MMULT(H30:M30,m_P_trtB)</f>
        <v>105.26193234946219</v>
      </c>
      <c r="I31" s="155">
        <v>114.36507826052363</v>
      </c>
      <c r="J31" s="155">
        <v>66.869321212972466</v>
      </c>
      <c r="K31" s="155">
        <v>22.974404322388004</v>
      </c>
      <c r="L31" s="155">
        <v>378.28354423587075</v>
      </c>
      <c r="M31" s="155">
        <v>312.24571961878274</v>
      </c>
      <c r="O31" s="154">
        <v>4072404.3544222591</v>
      </c>
      <c r="Q31" s="154">
        <v>621.02057186007028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MMULT(H31:M31,m_P_trtB)</f>
        <v>96.840977761505201</v>
      </c>
      <c r="I32" s="155">
        <v>113.20654708633175</v>
      </c>
      <c r="J32" s="155">
        <v>66.160565744020602</v>
      </c>
      <c r="K32" s="155">
        <v>22.570219666634493</v>
      </c>
      <c r="L32" s="155">
        <v>378.63748817765037</v>
      </c>
      <c r="M32" s="155">
        <v>322.58420156385733</v>
      </c>
      <c r="O32" s="154">
        <v>4058760.5551111423</v>
      </c>
      <c r="Q32" s="154">
        <v>611.26763372448806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MMULT(H32:M32,m_P_trtB)</f>
        <v>89.09369954058478</v>
      </c>
      <c r="I33" s="155">
        <v>112.02533183560396</v>
      </c>
      <c r="J33" s="155">
        <v>65.441449338936863</v>
      </c>
      <c r="K33" s="155">
        <v>22.177604472535389</v>
      </c>
      <c r="L33" s="155">
        <v>378.52111439849585</v>
      </c>
      <c r="M33" s="155">
        <v>332.74080041384286</v>
      </c>
      <c r="O33" s="154">
        <v>4041699.8593687015</v>
      </c>
      <c r="Q33" s="154">
        <v>601.71841687524523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MMULT(H33:M33,m_P_trtB)</f>
        <v>81.966203577337993</v>
      </c>
      <c r="I34" s="155">
        <v>110.82491228899832</v>
      </c>
      <c r="J34" s="155">
        <v>64.71379043331585</v>
      </c>
      <c r="K34" s="155">
        <v>21.79595663251407</v>
      </c>
      <c r="L34" s="155">
        <v>377.97841464134967</v>
      </c>
      <c r="M34" s="155">
        <v>342.7207224264838</v>
      </c>
      <c r="O34" s="154">
        <v>4021561.2959308554</v>
      </c>
      <c r="Q34" s="154">
        <v>592.36495589629794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DAFF-82A2-E840-B190-192E85C84F1D}">
  <dimension ref="A1:AB34"/>
  <sheetViews>
    <sheetView workbookViewId="0">
      <selection activeCell="D8" sqref="D8"/>
    </sheetView>
  </sheetViews>
  <sheetFormatPr baseColWidth="10" defaultRowHeight="15" x14ac:dyDescent="0.2"/>
  <cols>
    <col min="16" max="16" width="2.6640625" customWidth="1"/>
    <col min="28" max="28" width="11.6640625" bestFit="1" customWidth="1"/>
  </cols>
  <sheetData>
    <row r="1" spans="1:28" ht="52" thickBot="1" x14ac:dyDescent="0.25">
      <c r="G1" s="238" t="s">
        <v>193</v>
      </c>
      <c r="H1" s="238"/>
      <c r="I1" s="238"/>
      <c r="J1" s="238"/>
      <c r="K1" s="238"/>
      <c r="L1" s="238"/>
      <c r="M1" s="238"/>
      <c r="N1" s="147"/>
      <c r="O1" s="148" t="s">
        <v>194</v>
      </c>
      <c r="P1" s="149"/>
      <c r="Q1" s="148" t="s">
        <v>195</v>
      </c>
      <c r="R1" s="150"/>
      <c r="S1" s="238" t="s">
        <v>196</v>
      </c>
      <c r="T1" s="238"/>
      <c r="U1" s="147"/>
      <c r="V1" s="148" t="s">
        <v>197</v>
      </c>
      <c r="W1" s="150"/>
      <c r="X1" s="148" t="s">
        <v>198</v>
      </c>
      <c r="Y1" s="148" t="s">
        <v>199</v>
      </c>
      <c r="Z1" s="149"/>
      <c r="AA1" s="61"/>
      <c r="AB1" s="61"/>
    </row>
    <row r="2" spans="1:28" ht="17" thickBot="1" x14ac:dyDescent="0.25">
      <c r="A2" s="60" t="s">
        <v>187</v>
      </c>
      <c r="B2" s="61"/>
      <c r="C2" s="61"/>
      <c r="D2" s="61"/>
      <c r="E2" s="61"/>
      <c r="G2" s="151"/>
      <c r="H2" s="151"/>
      <c r="I2" s="151"/>
      <c r="J2" s="151"/>
      <c r="K2" s="151"/>
      <c r="L2" s="151"/>
      <c r="M2" s="151"/>
      <c r="N2" s="15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152" t="s">
        <v>225</v>
      </c>
      <c r="AB2" s="160" cm="1">
        <f t="array" ref="AB2">MMULT(TRANSPOSE(w_c_trtC),cost_trtC)</f>
        <v>86249960.569360688</v>
      </c>
    </row>
    <row r="3" spans="1:28" ht="17" thickBot="1" x14ac:dyDescent="0.25">
      <c r="A3" s="61"/>
      <c r="B3" s="141" t="s">
        <v>188</v>
      </c>
      <c r="C3" s="141" t="s">
        <v>171</v>
      </c>
      <c r="D3" s="142" t="s">
        <v>227</v>
      </c>
      <c r="E3" s="142" t="s">
        <v>228</v>
      </c>
      <c r="G3" s="153" t="s">
        <v>3</v>
      </c>
      <c r="H3" s="153" t="s">
        <v>7</v>
      </c>
      <c r="I3" s="153" t="s">
        <v>8</v>
      </c>
      <c r="J3" s="153" t="s">
        <v>9</v>
      </c>
      <c r="K3" s="141" t="s">
        <v>10</v>
      </c>
      <c r="L3" s="141" t="s">
        <v>11</v>
      </c>
      <c r="M3" s="141" t="s">
        <v>12</v>
      </c>
      <c r="N3" s="60"/>
      <c r="O3" s="142" t="s">
        <v>229</v>
      </c>
      <c r="P3" s="61"/>
      <c r="Q3" s="142" t="s">
        <v>230</v>
      </c>
      <c r="R3" s="61"/>
      <c r="S3" s="142" t="s">
        <v>231</v>
      </c>
      <c r="T3" s="142" t="s">
        <v>232</v>
      </c>
      <c r="U3" s="60"/>
      <c r="V3" s="142" t="s">
        <v>212</v>
      </c>
      <c r="W3" s="60"/>
      <c r="X3" s="142" t="s">
        <v>233</v>
      </c>
      <c r="Y3" s="142" t="s">
        <v>234</v>
      </c>
      <c r="Z3" s="61"/>
      <c r="AA3" s="152" t="s">
        <v>226</v>
      </c>
      <c r="AB3" s="161" cm="1">
        <f t="array" ref="AB3">MMULT(TRANSPOSE(w_e_trtC),qaly_trtC)</f>
        <v>15714.010986326313</v>
      </c>
    </row>
    <row r="4" spans="1:28" ht="16" x14ac:dyDescent="0.2">
      <c r="A4" s="61"/>
      <c r="B4" s="143" t="s">
        <v>23</v>
      </c>
      <c r="C4" s="143" t="s">
        <v>7</v>
      </c>
      <c r="D4" s="146">
        <v>0</v>
      </c>
      <c r="E4" s="144">
        <f>uHealthy</f>
        <v>1</v>
      </c>
      <c r="G4" s="155">
        <v>0</v>
      </c>
      <c r="H4" s="155">
        <v>1000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61"/>
      <c r="O4" s="156" cm="1">
        <f t="array" ref="O4:O34">MMULT(H4:M34,costs_trtC)</f>
        <v>0</v>
      </c>
      <c r="P4" s="61"/>
      <c r="Q4" s="154" cm="1">
        <f t="array" ref="Q4:Q34">MMULT(H4:M34,qalys_trtC)</f>
        <v>1000</v>
      </c>
      <c r="R4" s="61"/>
      <c r="S4" s="157">
        <f t="shared" ref="S4:S34" si="0">1/(1+discount_rate)^G4</f>
        <v>1</v>
      </c>
      <c r="T4" s="157">
        <f t="shared" ref="T4:T34" si="1">1/(1+discount_rate)^G4</f>
        <v>1</v>
      </c>
      <c r="U4" s="158"/>
      <c r="V4" s="157">
        <v>0.33333333333333331</v>
      </c>
      <c r="W4" s="159"/>
      <c r="X4" s="157">
        <f>S4*V4</f>
        <v>0.33333333333333331</v>
      </c>
      <c r="Y4" s="157">
        <f>T4*V4</f>
        <v>0.33333333333333331</v>
      </c>
      <c r="Z4" s="61"/>
      <c r="AA4" s="61"/>
      <c r="AB4" s="61"/>
    </row>
    <row r="5" spans="1:28" x14ac:dyDescent="0.2">
      <c r="A5" s="61"/>
      <c r="B5" s="143" t="s">
        <v>23</v>
      </c>
      <c r="C5" s="143" t="s">
        <v>8</v>
      </c>
      <c r="D5" s="144">
        <f>cTreatmentStage1+nVisitsStage1*cVisit</f>
        <v>1600</v>
      </c>
      <c r="E5" s="144">
        <f>uStage1</f>
        <v>0.88</v>
      </c>
      <c r="G5" s="155">
        <v>1</v>
      </c>
      <c r="H5" s="155" cm="1">
        <f t="array" ref="H5:M5">MMULT(H4:M4,m_P_trtC)</f>
        <v>919.99999999999989</v>
      </c>
      <c r="I5" s="155">
        <v>50.000000000000043</v>
      </c>
      <c r="J5" s="155">
        <v>20.000000000000018</v>
      </c>
      <c r="K5" s="155">
        <v>10.000000000000009</v>
      </c>
      <c r="L5" s="155">
        <v>0</v>
      </c>
      <c r="M5" s="155">
        <v>0</v>
      </c>
      <c r="O5" s="154">
        <v>456000.00000000035</v>
      </c>
      <c r="Q5" s="154">
        <v>981.8</v>
      </c>
      <c r="S5" s="157">
        <f t="shared" si="0"/>
        <v>0.970873786407767</v>
      </c>
      <c r="T5" s="157">
        <f t="shared" si="1"/>
        <v>0.970873786407767</v>
      </c>
      <c r="V5" s="154">
        <v>0.66666666666666663</v>
      </c>
      <c r="X5" s="157">
        <f t="shared" ref="X5:X34" si="2">S5*V5</f>
        <v>0.6472491909385113</v>
      </c>
      <c r="Y5" s="157">
        <f t="shared" ref="Y5:Y34" si="3">T5*V5</f>
        <v>0.6472491909385113</v>
      </c>
    </row>
    <row r="6" spans="1:28" x14ac:dyDescent="0.2">
      <c r="A6" s="61"/>
      <c r="B6" s="143" t="s">
        <v>23</v>
      </c>
      <c r="C6" s="143" t="s">
        <v>9</v>
      </c>
      <c r="D6" s="144">
        <f>cTreatmentStage2+nVisitsStage2*cVisit</f>
        <v>7200</v>
      </c>
      <c r="E6" s="144">
        <f>uStage2</f>
        <v>0.71</v>
      </c>
      <c r="G6" s="155">
        <v>2</v>
      </c>
      <c r="H6" s="155" cm="1">
        <f t="array" ref="H6:M6">MMULT(H5:M5,m_P_trtC)</f>
        <v>846.39999999999986</v>
      </c>
      <c r="I6" s="155">
        <v>79.500000000000057</v>
      </c>
      <c r="J6" s="155">
        <v>35.90000000000002</v>
      </c>
      <c r="K6" s="155">
        <v>17.200000000000014</v>
      </c>
      <c r="L6" s="155">
        <v>16.500000000000014</v>
      </c>
      <c r="M6" s="155">
        <v>4.5000000000000044</v>
      </c>
      <c r="O6" s="154">
        <v>992620.0000000007</v>
      </c>
      <c r="Q6" s="154">
        <v>963.71600000000001</v>
      </c>
      <c r="S6" s="157">
        <f t="shared" si="0"/>
        <v>0.94259590913375435</v>
      </c>
      <c r="T6" s="157">
        <f t="shared" si="1"/>
        <v>0.94259590913375435</v>
      </c>
      <c r="V6" s="154">
        <v>1.3333333333333333</v>
      </c>
      <c r="X6" s="157">
        <f t="shared" si="2"/>
        <v>1.2567945455116725</v>
      </c>
      <c r="Y6" s="157">
        <f t="shared" si="3"/>
        <v>1.2567945455116725</v>
      </c>
    </row>
    <row r="7" spans="1:28" x14ac:dyDescent="0.2">
      <c r="A7" s="61"/>
      <c r="B7" s="143" t="s">
        <v>23</v>
      </c>
      <c r="C7" s="143" t="s">
        <v>10</v>
      </c>
      <c r="D7" s="144">
        <f>cTreatmentStage3+nVisitsStage3*cVisit</f>
        <v>23200</v>
      </c>
      <c r="E7" s="144">
        <f>uStage3</f>
        <v>0.36</v>
      </c>
      <c r="G7" s="155">
        <v>3</v>
      </c>
      <c r="H7" s="155" cm="1">
        <f t="array" ref="H7:M7">MMULT(H6:M6,m_P_trtC)</f>
        <v>778.68799999999976</v>
      </c>
      <c r="I7" s="155">
        <v>96.615000000000066</v>
      </c>
      <c r="J7" s="155">
        <v>47.608000000000018</v>
      </c>
      <c r="K7" s="155">
        <v>22.449000000000012</v>
      </c>
      <c r="L7" s="155">
        <v>42.400000000000034</v>
      </c>
      <c r="M7" s="155">
        <v>12.240000000000011</v>
      </c>
      <c r="O7" s="154">
        <v>1552418.4000000011</v>
      </c>
      <c r="Q7" s="154">
        <v>945.87251999999989</v>
      </c>
      <c r="S7" s="157">
        <f t="shared" si="0"/>
        <v>0.91514165935315961</v>
      </c>
      <c r="T7" s="157">
        <f t="shared" si="1"/>
        <v>0.91514165935315961</v>
      </c>
      <c r="V7" s="154">
        <v>0.66666666666666663</v>
      </c>
      <c r="X7" s="157">
        <f t="shared" si="2"/>
        <v>0.61009443956877307</v>
      </c>
      <c r="Y7" s="157">
        <f t="shared" si="3"/>
        <v>0.61009443956877307</v>
      </c>
    </row>
    <row r="8" spans="1:28" x14ac:dyDescent="0.2">
      <c r="A8" s="61"/>
      <c r="B8" s="145" t="s">
        <v>23</v>
      </c>
      <c r="C8" s="145" t="s">
        <v>11</v>
      </c>
      <c r="D8" s="144">
        <f>nVisitsRemission*cVisit+cTrtC</f>
        <v>12600</v>
      </c>
      <c r="E8" s="104">
        <f>uRemission</f>
        <v>0.95</v>
      </c>
      <c r="G8" s="155">
        <v>4</v>
      </c>
      <c r="H8" s="155" cm="1">
        <f t="array" ref="H8:M8">MMULT(H7:M7,m_P_trtC)</f>
        <v>716.39295999999968</v>
      </c>
      <c r="I8" s="155">
        <v>106.23455000000007</v>
      </c>
      <c r="J8" s="155">
        <v>55.770510000000016</v>
      </c>
      <c r="K8" s="155">
        <v>26.152580000000015</v>
      </c>
      <c r="L8" s="155">
        <v>73.107350000000054</v>
      </c>
      <c r="M8" s="155">
        <v>22.342050000000015</v>
      </c>
      <c r="O8" s="154">
        <v>2099415.4180000015</v>
      </c>
      <c r="Q8" s="154">
        <v>928.34333739999988</v>
      </c>
      <c r="S8" s="157">
        <f t="shared" si="0"/>
        <v>0.888487047915689</v>
      </c>
      <c r="T8" s="157">
        <f t="shared" si="1"/>
        <v>0.888487047915689</v>
      </c>
      <c r="V8" s="154">
        <v>1.3333333333333333</v>
      </c>
      <c r="X8" s="157">
        <f t="shared" si="2"/>
        <v>1.1846493972209187</v>
      </c>
      <c r="Y8" s="157">
        <f t="shared" si="3"/>
        <v>1.1846493972209187</v>
      </c>
    </row>
    <row r="9" spans="1:28" x14ac:dyDescent="0.2">
      <c r="A9" s="61"/>
      <c r="B9" s="145" t="s">
        <v>23</v>
      </c>
      <c r="C9" s="145" t="s">
        <v>12</v>
      </c>
      <c r="D9" s="144">
        <f>0</f>
        <v>0</v>
      </c>
      <c r="E9" s="104">
        <f>0</f>
        <v>0</v>
      </c>
      <c r="G9" s="155">
        <v>5</v>
      </c>
      <c r="H9" s="155" cm="1">
        <f t="array" ref="H9:M9">MMULT(H8:M8,m_P_trtC)</f>
        <v>659.08152319999965</v>
      </c>
      <c r="I9" s="155">
        <v>111.31599850000008</v>
      </c>
      <c r="J9" s="155">
        <v>61.183396200000018</v>
      </c>
      <c r="K9" s="155">
        <v>28.605796100000013</v>
      </c>
      <c r="L9" s="155">
        <v>105.70257500000005</v>
      </c>
      <c r="M9" s="155">
        <v>34.110711000000023</v>
      </c>
      <c r="O9" s="154">
        <v>2614132.9647600013</v>
      </c>
      <c r="Q9" s="154">
        <v>911.19534602799968</v>
      </c>
      <c r="S9" s="157">
        <f t="shared" si="0"/>
        <v>0.86260878438416411</v>
      </c>
      <c r="T9" s="157">
        <f t="shared" si="1"/>
        <v>0.86260878438416411</v>
      </c>
      <c r="V9" s="154">
        <v>0.66666666666666663</v>
      </c>
      <c r="X9" s="157">
        <f t="shared" si="2"/>
        <v>0.575072522922776</v>
      </c>
      <c r="Y9" s="157">
        <f t="shared" si="3"/>
        <v>0.575072522922776</v>
      </c>
    </row>
    <row r="10" spans="1:28" x14ac:dyDescent="0.2">
      <c r="G10" s="155">
        <v>6</v>
      </c>
      <c r="H10" s="155" cm="1">
        <f t="array" ref="H10:M10">MMULT(H9:M9,m_P_trtC)</f>
        <v>606.35500134399967</v>
      </c>
      <c r="I10" s="155">
        <v>113.65377374500008</v>
      </c>
      <c r="J10" s="155">
        <v>64.567609339000015</v>
      </c>
      <c r="K10" s="155">
        <v>30.071222712000012</v>
      </c>
      <c r="L10" s="155">
        <v>138.36907361500005</v>
      </c>
      <c r="M10" s="155">
        <v>46.983319245000033</v>
      </c>
      <c r="O10" s="154">
        <v>3087835.5197002012</v>
      </c>
      <c r="Q10" s="154">
        <v>894.48958498085972</v>
      </c>
      <c r="S10" s="157">
        <f t="shared" si="0"/>
        <v>0.83748425668365445</v>
      </c>
      <c r="T10" s="157">
        <f t="shared" si="1"/>
        <v>0.83748425668365445</v>
      </c>
      <c r="V10" s="154">
        <v>1.3333333333333333</v>
      </c>
      <c r="X10" s="157">
        <f t="shared" si="2"/>
        <v>1.1166456755782059</v>
      </c>
      <c r="Y10" s="157">
        <f t="shared" si="3"/>
        <v>1.1166456755782059</v>
      </c>
    </row>
    <row r="11" spans="1:28" x14ac:dyDescent="0.2">
      <c r="G11" s="155">
        <v>7</v>
      </c>
      <c r="H11" s="155" cm="1">
        <f t="array" ref="H11:M11">MMULT(H10:M10,m_P_trtC)</f>
        <v>557.84660123647961</v>
      </c>
      <c r="I11" s="155">
        <v>114.33953714915008</v>
      </c>
      <c r="J11" s="155">
        <v>66.503985612680026</v>
      </c>
      <c r="K11" s="155">
        <v>30.784302770290012</v>
      </c>
      <c r="L11" s="155">
        <v>170.01020376600005</v>
      </c>
      <c r="M11" s="155">
        <v>60.515369465400042</v>
      </c>
      <c r="O11" s="154">
        <v>3518096.3475722652</v>
      </c>
      <c r="Q11" s="154">
        <v>878.27526628773899</v>
      </c>
      <c r="S11" s="157">
        <f t="shared" si="0"/>
        <v>0.81309151134335378</v>
      </c>
      <c r="T11" s="157">
        <f t="shared" si="1"/>
        <v>0.81309151134335378</v>
      </c>
      <c r="V11" s="154">
        <v>0.66666666666666663</v>
      </c>
      <c r="X11" s="157">
        <f t="shared" si="2"/>
        <v>0.54206100756223585</v>
      </c>
      <c r="Y11" s="157">
        <f t="shared" si="3"/>
        <v>0.54206100756223585</v>
      </c>
    </row>
    <row r="12" spans="1:28" x14ac:dyDescent="0.2">
      <c r="G12" s="155">
        <v>8</v>
      </c>
      <c r="H12" s="155" cm="1">
        <f t="array" ref="H12:M12">MMULT(H11:M11,m_P_trtC)</f>
        <v>513.21887313756122</v>
      </c>
      <c r="I12" s="155">
        <v>114.03873867770557</v>
      </c>
      <c r="J12" s="155">
        <v>67.432696321087121</v>
      </c>
      <c r="K12" s="155">
        <v>30.94621523941181</v>
      </c>
      <c r="L12" s="155">
        <v>199.99517091220355</v>
      </c>
      <c r="M12" s="155">
        <v>74.368305712030548</v>
      </c>
      <c r="O12" s="154">
        <v>3905868.7424442749</v>
      </c>
      <c r="Q12" s="154">
        <v>862.58622741469549</v>
      </c>
      <c r="S12" s="157">
        <f t="shared" si="0"/>
        <v>0.78940923431393573</v>
      </c>
      <c r="T12" s="157">
        <f t="shared" si="1"/>
        <v>0.78940923431393573</v>
      </c>
      <c r="V12" s="154">
        <v>1.3333333333333333</v>
      </c>
      <c r="X12" s="157">
        <f t="shared" si="2"/>
        <v>1.0525456457519142</v>
      </c>
      <c r="Y12" s="157">
        <f t="shared" si="3"/>
        <v>1.0525456457519142</v>
      </c>
    </row>
    <row r="13" spans="1:28" x14ac:dyDescent="0.2">
      <c r="G13" s="155">
        <v>9</v>
      </c>
      <c r="H13" s="155" cm="1">
        <f t="array" ref="H13:M13">MMULT(H12:M12,m_P_trtC)</f>
        <v>472.16136328655631</v>
      </c>
      <c r="I13" s="155">
        <v>113.15751715905124</v>
      </c>
      <c r="J13" s="155">
        <v>67.675083303388732</v>
      </c>
      <c r="K13" s="155">
        <v>30.720200799244591</v>
      </c>
      <c r="L13" s="155">
        <v>227.9917328819931</v>
      </c>
      <c r="M13" s="155">
        <v>88.294102569765869</v>
      </c>
      <c r="O13" s="154">
        <v>4253717.1200944688</v>
      </c>
      <c r="Q13" s="154">
        <v>847.44070605754894</v>
      </c>
      <c r="S13" s="157">
        <f t="shared" si="0"/>
        <v>0.76641673234362695</v>
      </c>
      <c r="T13" s="157">
        <f t="shared" si="1"/>
        <v>0.76641673234362695</v>
      </c>
      <c r="V13" s="154">
        <v>0.66666666666666663</v>
      </c>
      <c r="X13" s="157">
        <f t="shared" si="2"/>
        <v>0.51094448822908456</v>
      </c>
      <c r="Y13" s="157">
        <f t="shared" si="3"/>
        <v>0.51094448822908456</v>
      </c>
    </row>
    <row r="14" spans="1:28" x14ac:dyDescent="0.2">
      <c r="G14" s="155">
        <v>10</v>
      </c>
      <c r="H14" s="155" cm="1">
        <f t="array" ref="H14:M14">MMULT(H13:M13,m_P_trtC)</f>
        <v>434.38845422363175</v>
      </c>
      <c r="I14" s="155">
        <v>111.94379512698025</v>
      </c>
      <c r="J14" s="155">
        <v>67.459873661271573</v>
      </c>
      <c r="K14" s="155">
        <v>30.232976527996172</v>
      </c>
      <c r="L14" s="155">
        <v>253.85670753069414</v>
      </c>
      <c r="M14" s="155">
        <v>102.11819292942593</v>
      </c>
      <c r="O14" s="154">
        <v>4564820.7329005813</v>
      </c>
      <c r="Q14" s="154">
        <v>832.84324793911526</v>
      </c>
      <c r="S14" s="157">
        <f t="shared" si="0"/>
        <v>0.74409391489672516</v>
      </c>
      <c r="T14" s="157">
        <f t="shared" si="1"/>
        <v>0.74409391489672516</v>
      </c>
      <c r="V14" s="154">
        <v>1.3333333333333333</v>
      </c>
      <c r="X14" s="157">
        <f t="shared" si="2"/>
        <v>0.99212521986230018</v>
      </c>
      <c r="Y14" s="157">
        <f t="shared" si="3"/>
        <v>0.99212521986230018</v>
      </c>
    </row>
    <row r="15" spans="1:28" x14ac:dyDescent="0.2">
      <c r="G15" s="155">
        <v>11</v>
      </c>
      <c r="H15" s="155" cm="1">
        <f t="array" ref="H15:M15">MMULT(H14:M14,m_P_trtC)</f>
        <v>399.63737788574116</v>
      </c>
      <c r="I15" s="155">
        <v>110.54871860331707</v>
      </c>
      <c r="J15" s="155">
        <v>66.946855770947295</v>
      </c>
      <c r="K15" s="155">
        <v>29.57935385542514</v>
      </c>
      <c r="L15" s="155">
        <v>277.56466151754489</v>
      </c>
      <c r="M15" s="155">
        <v>115.7230323670242</v>
      </c>
      <c r="O15" s="154">
        <v>4842451.0558830574</v>
      </c>
      <c r="Q15" s="154">
        <v>818.7875136836534</v>
      </c>
      <c r="S15" s="157">
        <f t="shared" si="0"/>
        <v>0.72242127659876232</v>
      </c>
      <c r="T15" s="157">
        <f t="shared" si="1"/>
        <v>0.72242127659876232</v>
      </c>
      <c r="V15" s="154">
        <v>0.66666666666666663</v>
      </c>
      <c r="X15" s="157">
        <f t="shared" si="2"/>
        <v>0.48161418439917486</v>
      </c>
      <c r="Y15" s="157">
        <f t="shared" si="3"/>
        <v>0.48161418439917486</v>
      </c>
    </row>
    <row r="16" spans="1:28" x14ac:dyDescent="0.2">
      <c r="G16" s="155">
        <v>12</v>
      </c>
      <c r="H16" s="155" cm="1">
        <f t="array" ref="H16:M16">MMULT(H15:M15,m_P_trtC)</f>
        <v>367.66638765488182</v>
      </c>
      <c r="I16" s="155">
        <v>109.0641118508678</v>
      </c>
      <c r="J16" s="155">
        <v>66.245993803737065</v>
      </c>
      <c r="K16" s="155">
        <v>28.828079072212077</v>
      </c>
      <c r="L16" s="155">
        <v>299.16168601633547</v>
      </c>
      <c r="M16" s="155">
        <v>129.03374160196552</v>
      </c>
      <c r="O16" s="154">
        <v>5089722.4126294423</v>
      </c>
      <c r="Q16" s="154">
        <v>805.25917186581387</v>
      </c>
      <c r="S16" s="157">
        <f t="shared" si="0"/>
        <v>0.70137988019297326</v>
      </c>
      <c r="T16" s="157">
        <f t="shared" si="1"/>
        <v>0.70137988019297326</v>
      </c>
      <c r="V16" s="154">
        <v>1.3333333333333333</v>
      </c>
      <c r="X16" s="157">
        <f t="shared" si="2"/>
        <v>0.93517317359063101</v>
      </c>
      <c r="Y16" s="157">
        <f t="shared" si="3"/>
        <v>0.93517317359063101</v>
      </c>
    </row>
    <row r="17" spans="7:25" x14ac:dyDescent="0.2">
      <c r="G17" s="155">
        <v>13</v>
      </c>
      <c r="H17" s="155" cm="1">
        <f t="array" ref="H17:M17">MMULT(H16:M16,m_P_trtC)</f>
        <v>338.25307664249124</v>
      </c>
      <c r="I17" s="155">
        <v>107.54537607681181</v>
      </c>
      <c r="J17" s="155">
        <v>65.431972894363966</v>
      </c>
      <c r="K17" s="155">
        <v>28.027602483215418</v>
      </c>
      <c r="L17" s="155">
        <v>318.73559471865633</v>
      </c>
      <c r="M17" s="155">
        <v>142.00637718446094</v>
      </c>
      <c r="O17" s="154">
        <v>5309491.6776279863</v>
      </c>
      <c r="Q17" s="154">
        <v>792.23846022176508</v>
      </c>
      <c r="S17" s="157">
        <f t="shared" si="0"/>
        <v>0.68095133999317792</v>
      </c>
      <c r="T17" s="157">
        <f t="shared" si="1"/>
        <v>0.68095133999317792</v>
      </c>
      <c r="V17" s="154">
        <v>0.66666666666666663</v>
      </c>
      <c r="X17" s="157">
        <f t="shared" si="2"/>
        <v>0.45396755999545191</v>
      </c>
      <c r="Y17" s="157">
        <f t="shared" si="3"/>
        <v>0.45396755999545191</v>
      </c>
    </row>
    <row r="18" spans="7:25" x14ac:dyDescent="0.2">
      <c r="G18" s="155">
        <v>14</v>
      </c>
      <c r="H18" s="155" cm="1">
        <f t="array" ref="H18:M18">MMULT(H17:M17,m_P_trtC)</f>
        <v>311.19283051109193</v>
      </c>
      <c r="I18" s="155">
        <v>106.02552666270329</v>
      </c>
      <c r="J18" s="155">
        <v>64.554874895683284</v>
      </c>
      <c r="K18" s="155">
        <v>27.211127942187218</v>
      </c>
      <c r="L18" s="155">
        <v>336.39684168642611</v>
      </c>
      <c r="M18" s="155">
        <v>154.61879830190787</v>
      </c>
      <c r="O18" s="154">
        <v>5504334.3154169573</v>
      </c>
      <c r="Q18" s="154">
        <v>779.70226081149815</v>
      </c>
      <c r="S18" s="157">
        <f t="shared" si="0"/>
        <v>0.66111780581861923</v>
      </c>
      <c r="T18" s="157">
        <f t="shared" si="1"/>
        <v>0.66111780581861923</v>
      </c>
      <c r="V18" s="154">
        <v>1.3333333333333333</v>
      </c>
      <c r="X18" s="157">
        <f t="shared" si="2"/>
        <v>0.8814904077581589</v>
      </c>
      <c r="Y18" s="157">
        <f t="shared" si="3"/>
        <v>0.8814904077581589</v>
      </c>
    </row>
    <row r="19" spans="7:25" x14ac:dyDescent="0.2">
      <c r="G19" s="155">
        <v>15</v>
      </c>
      <c r="H19" s="155" cm="1">
        <f t="array" ref="H19:M19">MMULT(H18:M18,m_P_trtC)</f>
        <v>286.29740407020455</v>
      </c>
      <c r="I19" s="155">
        <v>104.52381968541724</v>
      </c>
      <c r="J19" s="155">
        <v>63.647827444740024</v>
      </c>
      <c r="K19" s="155">
        <v>26.400723510557022</v>
      </c>
      <c r="L19" s="155">
        <v>352.26641941318871</v>
      </c>
      <c r="M19" s="155">
        <v>166.86380587589213</v>
      </c>
      <c r="O19" s="154">
        <v>5676556.1391498968</v>
      </c>
      <c r="Q19" s="154">
        <v>767.6256817854669</v>
      </c>
      <c r="S19" s="157">
        <f t="shared" si="0"/>
        <v>0.64186194739671765</v>
      </c>
      <c r="T19" s="157">
        <f t="shared" si="1"/>
        <v>0.64186194739671765</v>
      </c>
      <c r="V19" s="154">
        <v>0.66666666666666663</v>
      </c>
      <c r="X19" s="157">
        <f t="shared" si="2"/>
        <v>0.42790796493114508</v>
      </c>
      <c r="Y19" s="157">
        <f t="shared" si="3"/>
        <v>0.42790796493114508</v>
      </c>
    </row>
    <row r="20" spans="7:25" x14ac:dyDescent="0.2">
      <c r="G20" s="155">
        <v>16</v>
      </c>
      <c r="H20" s="155" cm="1">
        <f t="array" ref="H20:M20">MMULT(H19:M19,m_P_trtC)</f>
        <v>263.39361174458816</v>
      </c>
      <c r="I20" s="155">
        <v>103.05106534192791</v>
      </c>
      <c r="J20" s="155">
        <v>62.732391080581458</v>
      </c>
      <c r="K20" s="155">
        <v>25.610509912691562</v>
      </c>
      <c r="L20" s="155">
        <v>366.46829046456776</v>
      </c>
      <c r="M20" s="155">
        <v>178.74413145564279</v>
      </c>
      <c r="O20" s="154">
        <v>5828219.2101552691</v>
      </c>
      <c r="Q20" s="154">
        <v>755.98320642260592</v>
      </c>
      <c r="S20" s="157">
        <f t="shared" si="0"/>
        <v>0.62316693922011435</v>
      </c>
      <c r="T20" s="157">
        <f t="shared" si="1"/>
        <v>0.62316693922011435</v>
      </c>
      <c r="V20" s="154">
        <v>1.3333333333333333</v>
      </c>
      <c r="X20" s="157">
        <f t="shared" si="2"/>
        <v>0.83088925229348576</v>
      </c>
      <c r="Y20" s="157">
        <f t="shared" si="3"/>
        <v>0.83088925229348576</v>
      </c>
    </row>
    <row r="21" spans="7:25" x14ac:dyDescent="0.2">
      <c r="G21" s="155">
        <v>17</v>
      </c>
      <c r="H21" s="155" cm="1">
        <f t="array" ref="H21:M21">MMULT(H20:M20,m_P_trtC)</f>
        <v>242.32212280502108</v>
      </c>
      <c r="I21" s="155">
        <v>101.61290713674003</v>
      </c>
      <c r="J21" s="155">
        <v>61.822304722359362</v>
      </c>
      <c r="K21" s="155">
        <v>24.849049735878886</v>
      </c>
      <c r="L21" s="155">
        <v>379.1247546836463</v>
      </c>
      <c r="M21" s="155">
        <v>190.26886091635399</v>
      </c>
      <c r="O21" s="154">
        <v>5961171.1083061052</v>
      </c>
      <c r="Q21" s="154">
        <v>744.74949229260778</v>
      </c>
      <c r="S21" s="157">
        <f t="shared" si="0"/>
        <v>0.60501644584477121</v>
      </c>
      <c r="T21" s="157">
        <f t="shared" si="1"/>
        <v>0.60501644584477121</v>
      </c>
      <c r="V21" s="154">
        <v>0.66666666666666663</v>
      </c>
      <c r="X21" s="157">
        <f t="shared" si="2"/>
        <v>0.40334429722984744</v>
      </c>
      <c r="Y21" s="157">
        <f t="shared" si="3"/>
        <v>0.40334429722984744</v>
      </c>
    </row>
    <row r="22" spans="7:25" x14ac:dyDescent="0.2">
      <c r="G22" s="155">
        <v>18</v>
      </c>
      <c r="H22" s="155" cm="1">
        <f t="array" ref="H22:M22">MMULT(H21:M21,m_P_trtC)</f>
        <v>222.93635298061938</v>
      </c>
      <c r="I22" s="155">
        <v>100.21184874943239</v>
      </c>
      <c r="J22" s="155">
        <v>60.926063583656919</v>
      </c>
      <c r="K22" s="155">
        <v>24.12109180434356</v>
      </c>
      <c r="L22" s="155">
        <v>390.35370958444793</v>
      </c>
      <c r="M22" s="155">
        <v>201.45093329749949</v>
      </c>
      <c r="O22" s="154">
        <v>6077072.6864262363</v>
      </c>
      <c r="Q22" s="154">
        <v>733.89990217930551</v>
      </c>
      <c r="S22" s="157">
        <f t="shared" si="0"/>
        <v>0.5873946076162827</v>
      </c>
      <c r="T22" s="157">
        <f t="shared" si="1"/>
        <v>0.5873946076162827</v>
      </c>
      <c r="V22" s="154">
        <v>1.3333333333333333</v>
      </c>
      <c r="X22" s="157">
        <f t="shared" si="2"/>
        <v>0.78319281015504361</v>
      </c>
      <c r="Y22" s="157">
        <f t="shared" si="3"/>
        <v>0.78319281015504361</v>
      </c>
    </row>
    <row r="23" spans="7:25" x14ac:dyDescent="0.2">
      <c r="G23" s="155">
        <v>19</v>
      </c>
      <c r="H23" s="155" cm="1">
        <f t="array" ref="H23:M23">MMULT(H22:M22,m_P_trtC)</f>
        <v>205.1014447421698</v>
      </c>
      <c r="I23" s="155">
        <v>98.848507994567285</v>
      </c>
      <c r="J23" s="155">
        <v>60.048678866655919</v>
      </c>
      <c r="K23" s="155">
        <v>23.428818969526514</v>
      </c>
      <c r="L23" s="155">
        <v>400.26712481762604</v>
      </c>
      <c r="M23" s="155">
        <v>212.30542460945409</v>
      </c>
      <c r="O23" s="154">
        <v>6177422.4734263327</v>
      </c>
      <c r="Q23" s="154">
        <v>723.41083717848892</v>
      </c>
      <c r="S23" s="157">
        <f t="shared" si="0"/>
        <v>0.57028602681192497</v>
      </c>
      <c r="T23" s="157">
        <f t="shared" si="1"/>
        <v>0.57028602681192497</v>
      </c>
      <c r="V23" s="154">
        <v>0.66666666666666663</v>
      </c>
      <c r="X23" s="157">
        <f t="shared" si="2"/>
        <v>0.3801906845412833</v>
      </c>
      <c r="Y23" s="157">
        <f t="shared" si="3"/>
        <v>0.3801906845412833</v>
      </c>
    </row>
    <row r="24" spans="7:25" x14ac:dyDescent="0.2">
      <c r="G24" s="155">
        <v>20</v>
      </c>
      <c r="H24" s="155" cm="1">
        <f t="array" ref="H24:M24">MMULT(H23:M23,m_P_trtC)</f>
        <v>188.6933291627962</v>
      </c>
      <c r="I24" s="155">
        <v>97.52239261779134</v>
      </c>
      <c r="J24" s="155">
        <v>59.192870459122524</v>
      </c>
      <c r="K24" s="155">
        <v>22.772725762183345</v>
      </c>
      <c r="L24" s="155">
        <v>408.97028885236523</v>
      </c>
      <c r="M24" s="155">
        <v>222.84839314574103</v>
      </c>
      <c r="O24" s="154">
        <v>6263577.3727166038</v>
      </c>
      <c r="Q24" s="154">
        <v>713.25992837656258</v>
      </c>
      <c r="S24" s="157">
        <f t="shared" si="0"/>
        <v>0.55367575418633497</v>
      </c>
      <c r="T24" s="157">
        <f t="shared" si="1"/>
        <v>0.55367575418633497</v>
      </c>
      <c r="V24" s="154">
        <v>1.3333333333333333</v>
      </c>
      <c r="X24" s="157">
        <f t="shared" si="2"/>
        <v>0.73823433891511325</v>
      </c>
      <c r="Y24" s="157">
        <f t="shared" si="3"/>
        <v>0.73823433891511325</v>
      </c>
    </row>
    <row r="25" spans="7:25" x14ac:dyDescent="0.2">
      <c r="G25" s="155">
        <v>21</v>
      </c>
      <c r="H25" s="155" cm="1">
        <f t="array" ref="H25:M25">MMULT(H24:M24,m_P_trtC)</f>
        <v>173.59786282977248</v>
      </c>
      <c r="I25" s="155">
        <v>96.232379625278597</v>
      </c>
      <c r="J25" s="155">
        <v>58.359870185665045</v>
      </c>
      <c r="K25" s="155">
        <v>22.152226741588017</v>
      </c>
      <c r="L25" s="155">
        <v>416.56154087897198</v>
      </c>
      <c r="M25" s="155">
        <v>233.09611973872353</v>
      </c>
      <c r="O25" s="154">
        <v>6336769.9482171228</v>
      </c>
      <c r="Q25" s="154">
        <v>703.42613019383487</v>
      </c>
      <c r="S25" s="157">
        <f t="shared" si="0"/>
        <v>0.5375492759090631</v>
      </c>
      <c r="T25" s="157">
        <f t="shared" si="1"/>
        <v>0.5375492759090631</v>
      </c>
      <c r="V25" s="154">
        <v>0.66666666666666663</v>
      </c>
      <c r="X25" s="157">
        <f t="shared" si="2"/>
        <v>0.35836618393937536</v>
      </c>
      <c r="Y25" s="157">
        <f t="shared" si="3"/>
        <v>0.35836618393937536</v>
      </c>
    </row>
    <row r="26" spans="7:25" x14ac:dyDescent="0.2">
      <c r="G26" s="155">
        <v>22</v>
      </c>
      <c r="H26" s="155" cm="1">
        <f t="array" ref="H26:M26">MMULT(H25:M25,m_P_trtC)</f>
        <v>159.71003380339067</v>
      </c>
      <c r="I26" s="155">
        <v>94.977010451151585</v>
      </c>
      <c r="J26" s="155">
        <v>57.549959485181176</v>
      </c>
      <c r="K26" s="155">
        <v>21.56607252694149</v>
      </c>
      <c r="L26" s="155">
        <v>423.13230196089654</v>
      </c>
      <c r="M26" s="155">
        <v>243.06462177243813</v>
      </c>
      <c r="O26" s="154">
        <v>6398122.8123474866</v>
      </c>
      <c r="Q26" s="154">
        <v>693.88974720743329</v>
      </c>
      <c r="S26" s="157">
        <f t="shared" si="0"/>
        <v>0.52189250088258554</v>
      </c>
      <c r="T26" s="157">
        <f t="shared" si="1"/>
        <v>0.52189250088258554</v>
      </c>
      <c r="V26" s="154">
        <v>1.3333333333333333</v>
      </c>
      <c r="X26" s="157">
        <f t="shared" si="2"/>
        <v>0.69585666784344735</v>
      </c>
      <c r="Y26" s="157">
        <f t="shared" si="3"/>
        <v>0.69585666784344735</v>
      </c>
    </row>
    <row r="27" spans="7:25" x14ac:dyDescent="0.2">
      <c r="G27" s="155">
        <v>23</v>
      </c>
      <c r="H27" s="155" cm="1">
        <f t="array" ref="H27:M27">MMULT(H26:M26,m_P_trtC)</f>
        <v>146.93323109911941</v>
      </c>
      <c r="I27" s="155">
        <v>93.754671555721984</v>
      </c>
      <c r="J27" s="155">
        <v>56.762827077856677</v>
      </c>
      <c r="K27" s="155">
        <v>21.012630524281828</v>
      </c>
      <c r="L27" s="155">
        <v>428.76728533345783</v>
      </c>
      <c r="M27" s="155">
        <v>252.7693544095618</v>
      </c>
      <c r="O27" s="154">
        <v>6448660.6528146304</v>
      </c>
      <c r="Q27" s="154">
        <v>684.63241734895939</v>
      </c>
      <c r="S27" s="157">
        <f t="shared" si="0"/>
        <v>0.50669174842969467</v>
      </c>
      <c r="T27" s="157">
        <f t="shared" si="1"/>
        <v>0.50669174842969467</v>
      </c>
      <c r="V27" s="154">
        <v>0.66666666666666663</v>
      </c>
      <c r="X27" s="157">
        <f t="shared" si="2"/>
        <v>0.33779449895312974</v>
      </c>
      <c r="Y27" s="157">
        <f t="shared" si="3"/>
        <v>0.33779449895312974</v>
      </c>
    </row>
    <row r="28" spans="7:25" x14ac:dyDescent="0.2">
      <c r="G28" s="155">
        <v>24</v>
      </c>
      <c r="H28" s="155" cm="1">
        <f t="array" ref="H28:M28">MMULT(H27:M27,m_P_trtC)</f>
        <v>135.17857261118985</v>
      </c>
      <c r="I28" s="155">
        <v>92.563703686741007</v>
      </c>
      <c r="J28" s="155">
        <v>55.997805257151839</v>
      </c>
      <c r="K28" s="155">
        <v>20.490071634810612</v>
      </c>
      <c r="L28" s="155">
        <v>433.54480866461756</v>
      </c>
      <c r="M28" s="155">
        <v>262.22503814548861</v>
      </c>
      <c r="O28" s="154">
        <v>6489320.3748520659</v>
      </c>
      <c r="Q28" s="154">
        <v>675.63706760801824</v>
      </c>
      <c r="S28" s="157">
        <f t="shared" si="0"/>
        <v>0.49193373633950943</v>
      </c>
      <c r="T28" s="157">
        <f t="shared" si="1"/>
        <v>0.49193373633950943</v>
      </c>
      <c r="V28" s="154">
        <v>1.3333333333333333</v>
      </c>
      <c r="X28" s="157">
        <f t="shared" si="2"/>
        <v>0.65591164845267924</v>
      </c>
      <c r="Y28" s="157">
        <f t="shared" si="3"/>
        <v>0.65591164845267924</v>
      </c>
    </row>
    <row r="29" spans="7:25" x14ac:dyDescent="0.2">
      <c r="G29" s="155">
        <v>25</v>
      </c>
      <c r="H29" s="155" cm="1">
        <f t="array" ref="H29:M29">MMULT(H28:M28,m_P_trtC)</f>
        <v>124.36428680229466</v>
      </c>
      <c r="I29" s="155">
        <v>91.402466723029633</v>
      </c>
      <c r="J29" s="155">
        <v>55.254024730221886</v>
      </c>
      <c r="K29" s="155">
        <v>19.996492332089979</v>
      </c>
      <c r="L29" s="155">
        <v>437.53715903120991</v>
      </c>
      <c r="M29" s="155">
        <v>271.4455703811534</v>
      </c>
      <c r="O29" s="154">
        <v>6520959.7507121768</v>
      </c>
      <c r="Q29" s="154">
        <v>666.88785339622007</v>
      </c>
      <c r="S29" s="157">
        <f t="shared" si="0"/>
        <v>0.47760556926165965</v>
      </c>
      <c r="T29" s="157">
        <f t="shared" si="1"/>
        <v>0.47760556926165965</v>
      </c>
      <c r="V29" s="154">
        <v>0.66666666666666663</v>
      </c>
      <c r="X29" s="157">
        <f t="shared" si="2"/>
        <v>0.31840371284110641</v>
      </c>
      <c r="Y29" s="157">
        <f t="shared" si="3"/>
        <v>0.31840371284110641</v>
      </c>
    </row>
    <row r="30" spans="7:25" x14ac:dyDescent="0.2">
      <c r="G30" s="155">
        <v>26</v>
      </c>
      <c r="H30" s="155" cm="1">
        <f t="array" ref="H30:M30">MMULT(H29:M29,m_P_trtC)</f>
        <v>114.41514385811108</v>
      </c>
      <c r="I30" s="155">
        <v>90.269376898155599</v>
      </c>
      <c r="J30" s="155">
        <v>54.530515043710686</v>
      </c>
      <c r="K30" s="155">
        <v>19.52999274360122</v>
      </c>
      <c r="L30" s="155">
        <v>440.81097952582695</v>
      </c>
      <c r="M30" s="155">
        <v>280.44399193059388</v>
      </c>
      <c r="O30" s="154">
        <v>6544364.8850287339</v>
      </c>
      <c r="Q30" s="154">
        <v>658.37008914675471</v>
      </c>
      <c r="S30" s="157">
        <f t="shared" si="0"/>
        <v>0.46369472743850448</v>
      </c>
      <c r="T30" s="157">
        <f t="shared" si="1"/>
        <v>0.46369472743850448</v>
      </c>
      <c r="V30" s="154">
        <v>1.3333333333333333</v>
      </c>
      <c r="X30" s="157">
        <f t="shared" si="2"/>
        <v>0.61825963658467264</v>
      </c>
      <c r="Y30" s="157">
        <f t="shared" si="3"/>
        <v>0.61825963658467264</v>
      </c>
    </row>
    <row r="31" spans="7:25" x14ac:dyDescent="0.2">
      <c r="G31" s="155">
        <v>27</v>
      </c>
      <c r="H31" s="155" cm="1">
        <f t="array" ref="H31:M31">MMULT(H30:M30,m_P_trtC)</f>
        <v>105.26193234946219</v>
      </c>
      <c r="I31" s="155">
        <v>89.16292690518361</v>
      </c>
      <c r="J31" s="155">
        <v>53.8262688209008</v>
      </c>
      <c r="K31" s="155">
        <v>19.088725066938323</v>
      </c>
      <c r="L31" s="155">
        <v>443.4276581923001</v>
      </c>
      <c r="M31" s="155">
        <v>289.23248866521442</v>
      </c>
      <c r="O31" s="154">
        <v>6560256.7333347304</v>
      </c>
      <c r="Q31" s="154">
        <v>650.07017519564624</v>
      </c>
      <c r="S31" s="157">
        <f t="shared" si="0"/>
        <v>0.45018905576553836</v>
      </c>
      <c r="T31" s="157">
        <f t="shared" si="1"/>
        <v>0.45018905576553836</v>
      </c>
      <c r="V31" s="154">
        <v>0.66666666666666663</v>
      </c>
      <c r="X31" s="157">
        <f t="shared" si="2"/>
        <v>0.30012603717702557</v>
      </c>
      <c r="Y31" s="157">
        <f t="shared" si="3"/>
        <v>0.30012603717702557</v>
      </c>
    </row>
    <row r="32" spans="7:25" x14ac:dyDescent="0.2">
      <c r="G32" s="155">
        <v>28</v>
      </c>
      <c r="H32" s="155" cm="1">
        <f t="array" ref="H32:M32">MMULT(H31:M31,m_P_trtC)</f>
        <v>96.840977761505201</v>
      </c>
      <c r="I32" s="155">
        <v>88.08169545650253</v>
      </c>
      <c r="J32" s="155">
        <v>53.140282047241008</v>
      </c>
      <c r="K32" s="155">
        <v>18.670922180098906</v>
      </c>
      <c r="L32" s="155">
        <v>445.44370760931514</v>
      </c>
      <c r="M32" s="155">
        <v>297.82241494533667</v>
      </c>
      <c r="O32" s="154">
        <v>6569296.8539262051</v>
      </c>
      <c r="Q32" s="154">
        <v>641.97552423045352</v>
      </c>
      <c r="S32" s="157">
        <f t="shared" si="0"/>
        <v>0.4370767531704256</v>
      </c>
      <c r="T32" s="157">
        <f t="shared" si="1"/>
        <v>0.4370767531704256</v>
      </c>
      <c r="V32" s="154">
        <v>1.3333333333333333</v>
      </c>
      <c r="X32" s="157">
        <f t="shared" si="2"/>
        <v>0.5827690042272341</v>
      </c>
      <c r="Y32" s="157">
        <f t="shared" si="3"/>
        <v>0.5827690042272341</v>
      </c>
    </row>
    <row r="33" spans="7:25" x14ac:dyDescent="0.2">
      <c r="G33" s="155">
        <v>29</v>
      </c>
      <c r="H33" s="155" cm="1">
        <f t="array" ref="H33:M33">MMULT(H32:M32,m_P_trtC)</f>
        <v>89.09369954058478</v>
      </c>
      <c r="I33" s="155">
        <v>87.024350417629734</v>
      </c>
      <c r="J33" s="155">
        <v>52.4715785904162</v>
      </c>
      <c r="K33" s="155">
        <v>18.274913174750658</v>
      </c>
      <c r="L33" s="155">
        <v>446.91112835023688</v>
      </c>
      <c r="M33" s="155">
        <v>306.22432992638119</v>
      </c>
      <c r="O33" s="154">
        <v>6572092.529386404</v>
      </c>
      <c r="Q33" s="154">
        <v>634.07448938292964</v>
      </c>
      <c r="S33" s="157">
        <f t="shared" si="0"/>
        <v>0.42434636230138412</v>
      </c>
      <c r="T33" s="157">
        <f t="shared" si="1"/>
        <v>0.42434636230138412</v>
      </c>
      <c r="V33" s="154">
        <v>0.66666666666666663</v>
      </c>
      <c r="X33" s="157">
        <f t="shared" si="2"/>
        <v>0.28289757486758937</v>
      </c>
      <c r="Y33" s="157">
        <f t="shared" si="3"/>
        <v>0.28289757486758937</v>
      </c>
    </row>
    <row r="34" spans="7:25" x14ac:dyDescent="0.2">
      <c r="G34" s="155">
        <v>30</v>
      </c>
      <c r="H34" s="155" cm="1">
        <f t="array" ref="H34:M34">MMULT(H33:M33,m_P_trtC)</f>
        <v>81.966203577337993</v>
      </c>
      <c r="I34" s="155">
        <v>85.989648095521247</v>
      </c>
      <c r="J34" s="155">
        <v>51.819224412566662</v>
      </c>
      <c r="K34" s="155">
        <v>17.89913037134361</v>
      </c>
      <c r="L34" s="155">
        <v>447.87775268821093</v>
      </c>
      <c r="M34" s="155">
        <v>314.44804085501897</v>
      </c>
      <c r="O34" s="154">
        <v>6569201.361209943</v>
      </c>
      <c r="Q34" s="154">
        <v>626.35629522180307</v>
      </c>
      <c r="S34" s="157">
        <f t="shared" si="0"/>
        <v>0.41198675951590691</v>
      </c>
      <c r="T34" s="157">
        <f t="shared" si="1"/>
        <v>0.41198675951590691</v>
      </c>
      <c r="V34" s="154">
        <v>0.33333333333333331</v>
      </c>
      <c r="X34" s="157">
        <f t="shared" si="2"/>
        <v>0.13732891983863563</v>
      </c>
      <c r="Y34" s="157">
        <f t="shared" si="3"/>
        <v>0.13732891983863563</v>
      </c>
    </row>
  </sheetData>
  <mergeCells count="2">
    <mergeCell ref="G1:M1"/>
    <mergeCell ref="S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116</vt:i4>
      </vt:variant>
    </vt:vector>
  </HeadingPairs>
  <TitlesOfParts>
    <vt:vector size="134" baseType="lpstr">
      <vt:lpstr>Parameters</vt:lpstr>
      <vt:lpstr>Life Table - Female</vt:lpstr>
      <vt:lpstr>Strategy 1 - phd</vt:lpstr>
      <vt:lpstr>Strategy 1 - Status quo</vt:lpstr>
      <vt:lpstr>Strategy 2 - phd</vt:lpstr>
      <vt:lpstr>Strategy 2 - Treatment A</vt:lpstr>
      <vt:lpstr>Strategy 3 - phd</vt:lpstr>
      <vt:lpstr>Strategy 3 - Treatment B</vt:lpstr>
      <vt:lpstr>Strategy 4 - phd</vt:lpstr>
      <vt:lpstr>Strategy 4 - Treatment C</vt:lpstr>
      <vt:lpstr>CEA results</vt:lpstr>
      <vt:lpstr>One-way DSA</vt:lpstr>
      <vt:lpstr>John's Template &gt;&gt;&gt;</vt:lpstr>
      <vt:lpstr>Transition Matrix</vt:lpstr>
      <vt:lpstr>S1 - Status quo</vt:lpstr>
      <vt:lpstr>S2 - trt A</vt:lpstr>
      <vt:lpstr>S3 - trt B</vt:lpstr>
      <vt:lpstr>S4 - trt C</vt:lpstr>
      <vt:lpstr>'S2 - trt A'!cost_quo</vt:lpstr>
      <vt:lpstr>'S3 - trt B'!cost_quo</vt:lpstr>
      <vt:lpstr>'S4 - trt C'!cost_quo</vt:lpstr>
      <vt:lpstr>cost_quo</vt:lpstr>
      <vt:lpstr>'S3 - trt B'!cost_trtA</vt:lpstr>
      <vt:lpstr>'S4 - trt C'!cost_trtA</vt:lpstr>
      <vt:lpstr>cost_trtA</vt:lpstr>
      <vt:lpstr>cost_trtB</vt:lpstr>
      <vt:lpstr>cost_trtC</vt:lpstr>
      <vt:lpstr>'S2 - trt A'!costs_quo</vt:lpstr>
      <vt:lpstr>'S3 - trt B'!costs_quo</vt:lpstr>
      <vt:lpstr>'S4 - trt C'!costs_quo</vt:lpstr>
      <vt:lpstr>costs_quo</vt:lpstr>
      <vt:lpstr>'S3 - trt B'!costs_trtA</vt:lpstr>
      <vt:lpstr>'S4 - trt C'!costs_trtA</vt:lpstr>
      <vt:lpstr>costs_trtA</vt:lpstr>
      <vt:lpstr>'S4 - trt C'!costs_trtB</vt:lpstr>
      <vt:lpstr>costs_trtB</vt:lpstr>
      <vt:lpstr>costs_trtC</vt:lpstr>
      <vt:lpstr>cTreatmentRemission</vt:lpstr>
      <vt:lpstr>cTreatmentStage1</vt:lpstr>
      <vt:lpstr>cTreatmentStage2</vt:lpstr>
      <vt:lpstr>cTreatmentStage3</vt:lpstr>
      <vt:lpstr>cTrtA</vt:lpstr>
      <vt:lpstr>cTrtB</vt:lpstr>
      <vt:lpstr>cTrtC</vt:lpstr>
      <vt:lpstr>cVisit</vt:lpstr>
      <vt:lpstr>discount_rate</vt:lpstr>
      <vt:lpstr>hrRemissionStage1_trtA</vt:lpstr>
      <vt:lpstr>hrRemissionStage1_trtB</vt:lpstr>
      <vt:lpstr>hrRemissionStage1_trtC</vt:lpstr>
      <vt:lpstr>hrRemissionStage2_trtA</vt:lpstr>
      <vt:lpstr>hrRemissionStage2_trtB</vt:lpstr>
      <vt:lpstr>hrRemissionStage2_trtC</vt:lpstr>
      <vt:lpstr>m_P_quo</vt:lpstr>
      <vt:lpstr>m_P_trtA</vt:lpstr>
      <vt:lpstr>m_P_trtB</vt:lpstr>
      <vt:lpstr>m_P_trtC</vt:lpstr>
      <vt:lpstr>nPop</vt:lpstr>
      <vt:lpstr>nVisitsRemission</vt:lpstr>
      <vt:lpstr>nVisitsStage1</vt:lpstr>
      <vt:lpstr>nVisitsStage2</vt:lpstr>
      <vt:lpstr>nVisitsStage3</vt:lpstr>
      <vt:lpstr>pHealthyStage1</vt:lpstr>
      <vt:lpstr>pHealthyStage2</vt:lpstr>
      <vt:lpstr>pHealthyStage3</vt:lpstr>
      <vt:lpstr>pRemissionStage1</vt:lpstr>
      <vt:lpstr>pRemissionStage1_trtA</vt:lpstr>
      <vt:lpstr>pRemissionStage1_trtB</vt:lpstr>
      <vt:lpstr>pRemissionStage1_trtC</vt:lpstr>
      <vt:lpstr>pRemissionStage2</vt:lpstr>
      <vt:lpstr>pRemissionStage2_trtA</vt:lpstr>
      <vt:lpstr>pRemissionStage2_trtB</vt:lpstr>
      <vt:lpstr>pRemissionStage2_trtC</vt:lpstr>
      <vt:lpstr>pStage1Remission</vt:lpstr>
      <vt:lpstr>pStage1Stage2</vt:lpstr>
      <vt:lpstr>pStage2Remission</vt:lpstr>
      <vt:lpstr>pStage2Stage1</vt:lpstr>
      <vt:lpstr>pStage2Stage3</vt:lpstr>
      <vt:lpstr>pStage3Death</vt:lpstr>
      <vt:lpstr>pStage3Stage2</vt:lpstr>
      <vt:lpstr>'S2 - trt A'!qaly_quo</vt:lpstr>
      <vt:lpstr>'S3 - trt B'!qaly_quo</vt:lpstr>
      <vt:lpstr>'S4 - trt C'!qaly_quo</vt:lpstr>
      <vt:lpstr>qaly_quo</vt:lpstr>
      <vt:lpstr>'S3 - trt B'!qaly_trtA</vt:lpstr>
      <vt:lpstr>'S4 - trt C'!qaly_trtA</vt:lpstr>
      <vt:lpstr>qaly_trtA</vt:lpstr>
      <vt:lpstr>qaly_trtB</vt:lpstr>
      <vt:lpstr>qaly_trtC</vt:lpstr>
      <vt:lpstr>'S2 - trt A'!qalys_quo</vt:lpstr>
      <vt:lpstr>'S3 - trt B'!qalys_quo</vt:lpstr>
      <vt:lpstr>'S4 - trt C'!qalys_quo</vt:lpstr>
      <vt:lpstr>qalys_quo</vt:lpstr>
      <vt:lpstr>'S3 - trt B'!qalys_trtA</vt:lpstr>
      <vt:lpstr>'S4 - trt C'!qalys_trtA</vt:lpstr>
      <vt:lpstr>qalys_trtA</vt:lpstr>
      <vt:lpstr>'S4 - trt C'!qalys_trtB</vt:lpstr>
      <vt:lpstr>qalys_trtB</vt:lpstr>
      <vt:lpstr>qalys_trtC</vt:lpstr>
      <vt:lpstr>rHealthyStage1</vt:lpstr>
      <vt:lpstr>rHealthyStage2</vt:lpstr>
      <vt:lpstr>rHealthyStage3</vt:lpstr>
      <vt:lpstr>rRemissionStage1</vt:lpstr>
      <vt:lpstr>rRemissionStage2</vt:lpstr>
      <vt:lpstr>rStage1Remission</vt:lpstr>
      <vt:lpstr>rStage1Stage2</vt:lpstr>
      <vt:lpstr>rStage2Remission</vt:lpstr>
      <vt:lpstr>rStage2Stage1</vt:lpstr>
      <vt:lpstr>rStage2Stage3</vt:lpstr>
      <vt:lpstr>rStage3Death</vt:lpstr>
      <vt:lpstr>rStage3Stage2</vt:lpstr>
      <vt:lpstr>uHealthy</vt:lpstr>
      <vt:lpstr>uRemission</vt:lpstr>
      <vt:lpstr>uStage1</vt:lpstr>
      <vt:lpstr>uStage2</vt:lpstr>
      <vt:lpstr>uStage3</vt:lpstr>
      <vt:lpstr>'S2 - trt A'!w_c_quo</vt:lpstr>
      <vt:lpstr>'S3 - trt B'!w_c_quo</vt:lpstr>
      <vt:lpstr>'S4 - trt C'!w_c_quo</vt:lpstr>
      <vt:lpstr>w_c_quo</vt:lpstr>
      <vt:lpstr>'S3 - trt B'!w_c_trtA</vt:lpstr>
      <vt:lpstr>'S4 - trt C'!w_c_trtA</vt:lpstr>
      <vt:lpstr>w_c_trtA</vt:lpstr>
      <vt:lpstr>w_c_trtB</vt:lpstr>
      <vt:lpstr>w_c_trtC</vt:lpstr>
      <vt:lpstr>'S2 - trt A'!w_e_quo</vt:lpstr>
      <vt:lpstr>'S3 - trt B'!w_e_quo</vt:lpstr>
      <vt:lpstr>'S4 - trt C'!w_e_quo</vt:lpstr>
      <vt:lpstr>w_e_quo</vt:lpstr>
      <vt:lpstr>'S3 - trt B'!w_e_trtA</vt:lpstr>
      <vt:lpstr>'S4 - trt C'!w_e_trtA</vt:lpstr>
      <vt:lpstr>w_e_trtA</vt:lpstr>
      <vt:lpstr>w_e_trtB</vt:lpstr>
      <vt:lpstr>w_e_trtC</vt:lpstr>
      <vt:lpstr>wtp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Horný</dc:creator>
  <cp:lastModifiedBy>Yu, Hanxuan</cp:lastModifiedBy>
  <dcterms:created xsi:type="dcterms:W3CDTF">2016-02-09T16:42:14Z</dcterms:created>
  <dcterms:modified xsi:type="dcterms:W3CDTF">2023-12-06T05:25:19Z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2022-10-27T05:31:57Z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ec4c4245-5eb5-480b-a20a-cdfd1a25ea5e</vt:lpwstr>
  </property>
  <property fmtid="{D5CDD505-2E9C-101B-9397-08002B2CF9AE}" pid="8" name="MSIP_Label_792c8cef-6f2b-4af1-b4ac-d815ff795cd6_ContentBits">
    <vt:lpwstr>0</vt:lpwstr>
  </property>
</Properties>
</file>