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tridyu/Documents/GitHub/MarkovDA/exercise/"/>
    </mc:Choice>
  </mc:AlternateContent>
  <xr:revisionPtr revIDLastSave="0" documentId="13_ncr:1_{B2A37194-9713-9441-AE02-87B7049C0600}" xr6:coauthVersionLast="47" xr6:coauthVersionMax="47" xr10:uidLastSave="{00000000-0000-0000-0000-000000000000}"/>
  <bookViews>
    <workbookView xWindow="14360" yWindow="1120" windowWidth="33600" windowHeight="18660" xr2:uid="{00000000-000D-0000-FFFF-FFFF00000000}"/>
  </bookViews>
  <sheets>
    <sheet name="Parameters" sheetId="1" r:id="rId1"/>
    <sheet name="Life Table - Male" sheetId="19" r:id="rId2"/>
    <sheet name="Strategy 1 - phd" sheetId="18" r:id="rId3"/>
    <sheet name="Strategy 1 - Status quo" sheetId="3" state="hidden" r:id="rId4"/>
    <sheet name="Strategy 2 - phd" sheetId="20" r:id="rId5"/>
    <sheet name="Strategy 2 - Treatment A" sheetId="6" state="hidden" r:id="rId6"/>
    <sheet name="Strategy 3 - phd" sheetId="21" r:id="rId7"/>
    <sheet name="Strategy 3 - Treatment B" sheetId="8" state="hidden" r:id="rId8"/>
    <sheet name="Strategy 4 - phd" sheetId="22" r:id="rId9"/>
    <sheet name="Strategy 4 - Treatment C" sheetId="9" state="hidden" r:id="rId10"/>
    <sheet name="CEA results" sheetId="4" r:id="rId11"/>
    <sheet name="One-way DSA" sheetId="10" state="hidden" r:id="rId12"/>
    <sheet name="John's Template &gt;&gt;&gt;" sheetId="11" state="hidden" r:id="rId13"/>
    <sheet name="Transition Matrix" sheetId="12" state="hidden" r:id="rId14"/>
    <sheet name="S1 - Status quo" sheetId="13" state="hidden" r:id="rId15"/>
    <sheet name="S2 - trt A" sheetId="15" state="hidden" r:id="rId16"/>
    <sheet name="S3 - trt B" sheetId="16" state="hidden" r:id="rId17"/>
    <sheet name="S4 - trt C" sheetId="17" state="hidden" r:id="rId18"/>
  </sheets>
  <definedNames>
    <definedName name="_xlnm._FilterDatabase" localSheetId="0" hidden="1">Parameters!$B$1:$G$62</definedName>
    <definedName name="cost_quo" localSheetId="15">'S2 - trt A'!$O$4:$O$34</definedName>
    <definedName name="cost_quo" localSheetId="16">'S3 - trt B'!$O$4:$O$34</definedName>
    <definedName name="cost_quo" localSheetId="17">'S4 - trt C'!$O$4:$O$34</definedName>
    <definedName name="cost_quo">'S1 - Status quo'!$O$4:$O$34</definedName>
    <definedName name="cost_trtA" localSheetId="16">'S3 - trt B'!$O$4:$O$34</definedName>
    <definedName name="cost_trtA" localSheetId="17">'S4 - trt C'!$O$4:$O$34</definedName>
    <definedName name="cost_trtA">'S2 - trt A'!$O$4:$O$34</definedName>
    <definedName name="cost_trtB">'S3 - trt B'!$O$4:$O$34</definedName>
    <definedName name="cost_trtC">'S4 - trt C'!$O$4:$O$34</definedName>
    <definedName name="costs_quo" localSheetId="15">'S2 - trt A'!$D$4:$D$9</definedName>
    <definedName name="costs_quo" localSheetId="16">'S3 - trt B'!$D$4:$D$9</definedName>
    <definedName name="costs_quo" localSheetId="17">'S4 - trt C'!$D$4:$D$9</definedName>
    <definedName name="costs_quo">'S1 - Status quo'!$D$4:$D$9</definedName>
    <definedName name="costs_trtA" localSheetId="16">'S3 - trt B'!$D$4:$D$9</definedName>
    <definedName name="costs_trtA" localSheetId="17">'S4 - trt C'!$D$4:$D$9</definedName>
    <definedName name="costs_trtA">'S2 - trt A'!$D$4:$D$9</definedName>
    <definedName name="costs_trtB" localSheetId="17">'S4 - trt C'!$D$4:$D$9</definedName>
    <definedName name="costs_trtB">'S3 - trt B'!$D$4:$D$9</definedName>
    <definedName name="costs_trtC">'S4 - trt C'!$D$4:$D$9</definedName>
    <definedName name="cTreatmentRemission">Parameters!$F$51</definedName>
    <definedName name="cTreatmentStage1">Parameters!$F$48</definedName>
    <definedName name="cTreatmentStage2">Parameters!$F$49</definedName>
    <definedName name="cTreatmentStage3">Parameters!$F$50</definedName>
    <definedName name="cTrtA">Parameters!$F$52</definedName>
    <definedName name="cTrtB">Parameters!$F$53</definedName>
    <definedName name="cTrtC">Parameters!$F$54</definedName>
    <definedName name="cVisit">Parameters!$F$47</definedName>
    <definedName name="discount_rate">Parameters!$F$6</definedName>
    <definedName name="hrRemissionStage1_trtA">Parameters!$F$37</definedName>
    <definedName name="hrRemissionStage1_trtB">Parameters!$F$39</definedName>
    <definedName name="hrRemissionStage1_trtC">Parameters!$F$41</definedName>
    <definedName name="hrRemissionStage2_trtA">Parameters!$F$38</definedName>
    <definedName name="hrRemissionStage2_trtB">Parameters!$F$40</definedName>
    <definedName name="hrRemissionStage2_trtC">Parameters!$F$42</definedName>
    <definedName name="m_P_quo">'Transition Matrix'!$L$5:$Q$10</definedName>
    <definedName name="m_P_trtA">'Transition Matrix'!$L$12:$Q$17</definedName>
    <definedName name="m_P_trtB">'Transition Matrix'!$L$19:$Q$24</definedName>
    <definedName name="m_P_trtC">'Transition Matrix'!$L$26:$Q$31</definedName>
    <definedName name="nPop">Parameters!$F$2</definedName>
    <definedName name="nVisitsRemission">Parameters!$F$46</definedName>
    <definedName name="nVisitsStage1">Parameters!$F$43</definedName>
    <definedName name="nVisitsStage2">Parameters!$F$44</definedName>
    <definedName name="nVisitsStage3">Parameters!$F$45</definedName>
    <definedName name="pHealthyStage1">Parameters!$F$7</definedName>
    <definedName name="pHealthyStage2">Parameters!$F$8</definedName>
    <definedName name="pHealthyStage3">Parameters!$F$9</definedName>
    <definedName name="pRemissionStage1">Parameters!$F$17</definedName>
    <definedName name="pRemissionStage1_trtA">Parameters!$F$19</definedName>
    <definedName name="pRemissionStage1_trtB">Parameters!$F$21</definedName>
    <definedName name="pRemissionStage1_trtC">Parameters!$F$23</definedName>
    <definedName name="pRemissionStage2">Parameters!$F$18</definedName>
    <definedName name="pRemissionStage2_trtA">Parameters!$F$20</definedName>
    <definedName name="pRemissionStage2_trtB">Parameters!$F$22</definedName>
    <definedName name="pRemissionStage2_trtC">Parameters!$F$24</definedName>
    <definedName name="pStage1Remission">Parameters!$F$11</definedName>
    <definedName name="pStage1Stage2">Parameters!$F$10</definedName>
    <definedName name="pStage2Remission">Parameters!$F$14</definedName>
    <definedName name="pStage2Stage1">Parameters!$F$12</definedName>
    <definedName name="pStage2Stage3">Parameters!$F$13</definedName>
    <definedName name="pStage3Death">Parameters!$F$16</definedName>
    <definedName name="pStage3Stage2">Parameters!$F$15</definedName>
    <definedName name="qaly_quo" localSheetId="15">'S2 - trt A'!$Q$4:$Q$34</definedName>
    <definedName name="qaly_quo" localSheetId="16">'S3 - trt B'!$Q$4:$Q$34</definedName>
    <definedName name="qaly_quo" localSheetId="17">'S4 - trt C'!$Q$4:$Q$34</definedName>
    <definedName name="qaly_quo">'S1 - Status quo'!$Q$4:$Q$34</definedName>
    <definedName name="qaly_trtA" localSheetId="16">'S3 - trt B'!$Q$4:$Q$34</definedName>
    <definedName name="qaly_trtA" localSheetId="17">'S4 - trt C'!$Q$4:$Q$34</definedName>
    <definedName name="qaly_trtA">'S2 - trt A'!$Q$4:$Q$34</definedName>
    <definedName name="qaly_trtB">'S3 - trt B'!$Q$4:$Q$34</definedName>
    <definedName name="qaly_trtC">'S4 - trt C'!$Q$4:$Q$34</definedName>
    <definedName name="qalys_quo" localSheetId="15">'S2 - trt A'!$E$4:$E$9</definedName>
    <definedName name="qalys_quo" localSheetId="16">'S3 - trt B'!$E$4:$E$9</definedName>
    <definedName name="qalys_quo" localSheetId="17">'S4 - trt C'!$E$4:$E$9</definedName>
    <definedName name="qalys_quo">'S1 - Status quo'!$E$4:$E$9</definedName>
    <definedName name="qalys_trtA" localSheetId="16">'S3 - trt B'!$E$4:$E$9</definedName>
    <definedName name="qalys_trtA" localSheetId="17">'S4 - trt C'!$E$4:$E$9</definedName>
    <definedName name="qalys_trtA">'S2 - trt A'!$E$4:$E$9</definedName>
    <definedName name="qalys_trtB" localSheetId="17">'S4 - trt C'!$E$4:$E$9</definedName>
    <definedName name="qalys_trtB">'S3 - trt B'!$E$4:$E$9</definedName>
    <definedName name="qalys_trtC">'S4 - trt C'!$E$4:$E$9</definedName>
    <definedName name="rHealthyStage1">Parameters!$F$25</definedName>
    <definedName name="rHealthyStage2">Parameters!$F$26</definedName>
    <definedName name="rHealthyStage3">Parameters!$F$27</definedName>
    <definedName name="rRemissionStage1">Parameters!$F$35</definedName>
    <definedName name="rRemissionStage2">Parameters!$F$36</definedName>
    <definedName name="rStage1Remission">Parameters!$F$29</definedName>
    <definedName name="rStage1Stage2">Parameters!$F$28</definedName>
    <definedName name="rStage2Remission">Parameters!$F$32</definedName>
    <definedName name="rStage2Stage1">Parameters!$F$30</definedName>
    <definedName name="rStage2Stage3">Parameters!$F$31</definedName>
    <definedName name="rStage3Death">Parameters!$F$34</definedName>
    <definedName name="rStage3Stage2">Parameters!$F$33</definedName>
    <definedName name="uHealthy">Parameters!$F$55</definedName>
    <definedName name="uRemission">Parameters!$F$59</definedName>
    <definedName name="uStage1">Parameters!$F$56</definedName>
    <definedName name="uStage2">Parameters!$F$57</definedName>
    <definedName name="uStage3">Parameters!$F$58</definedName>
    <definedName name="w_c_quo" localSheetId="15">'S2 - trt A'!$X$4:$X$34</definedName>
    <definedName name="w_c_quo" localSheetId="16">'S3 - trt B'!$X$4:$X$34</definedName>
    <definedName name="w_c_quo" localSheetId="17">'S4 - trt C'!$X$4:$X$34</definedName>
    <definedName name="w_c_quo">'S1 - Status quo'!$X$4:$X$34</definedName>
    <definedName name="w_c_trtA" localSheetId="16">'S3 - trt B'!$X$4:$X$34</definedName>
    <definedName name="w_c_trtA" localSheetId="17">'S4 - trt C'!$X$4:$X$34</definedName>
    <definedName name="w_c_trtA">'S2 - trt A'!$X$4:$X$34</definedName>
    <definedName name="w_c_trtB">'S3 - trt B'!$X$4:$X$34</definedName>
    <definedName name="w_c_trtC">'S4 - trt C'!$X$4:$X$34</definedName>
    <definedName name="w_e_quo" localSheetId="15">'S2 - trt A'!$Y$4:$Y$34</definedName>
    <definedName name="w_e_quo" localSheetId="16">'S3 - trt B'!$Y$4:$Y$34</definedName>
    <definedName name="w_e_quo" localSheetId="17">'S4 - trt C'!$Y$4:$Y$34</definedName>
    <definedName name="w_e_quo">'S1 - Status quo'!$Y$4:$Y$34</definedName>
    <definedName name="w_e_trtA" localSheetId="16">'S3 - trt B'!$Y$4:$Y$34</definedName>
    <definedName name="w_e_trtA" localSheetId="17">'S4 - trt C'!$Y$4:$Y$34</definedName>
    <definedName name="w_e_trtA">'S2 - trt A'!$Y$4:$Y$34</definedName>
    <definedName name="w_e_trtB">'S3 - trt B'!$Y$4:$Y$34</definedName>
    <definedName name="w_e_trtC">'S4 - trt C'!$Y$4:$Y$34</definedName>
    <definedName name="wtp">Parameters!$F$5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22" l="1"/>
  <c r="G4" i="22"/>
  <c r="U4" i="22" l="1"/>
  <c r="U4" i="21"/>
  <c r="U4" i="20"/>
  <c r="U4" i="18"/>
  <c r="G98" i="19"/>
  <c r="G99" i="19"/>
  <c r="G100" i="19"/>
  <c r="G101" i="19"/>
  <c r="G102" i="19"/>
  <c r="G103" i="19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23" i="19"/>
  <c r="C4" i="22" l="1"/>
  <c r="F4" i="22"/>
  <c r="I4" i="22"/>
  <c r="L4" i="22"/>
  <c r="B4" i="22" s="1"/>
  <c r="U5" i="22" s="1"/>
  <c r="O4" i="22"/>
  <c r="Q4" i="22" s="1"/>
  <c r="R4" i="22"/>
  <c r="C4" i="21"/>
  <c r="X3" i="22"/>
  <c r="B3" i="22"/>
  <c r="C4" i="18"/>
  <c r="U3" i="21"/>
  <c r="R4" i="21"/>
  <c r="O4" i="21"/>
  <c r="P4" i="21" s="1"/>
  <c r="X3" i="21"/>
  <c r="B3" i="21"/>
  <c r="R4" i="20"/>
  <c r="O4" i="20"/>
  <c r="Q4" i="20" s="1"/>
  <c r="X3" i="20"/>
  <c r="B3" i="20"/>
  <c r="C3" i="20" s="1"/>
  <c r="I4" i="20" s="1"/>
  <c r="R4" i="18"/>
  <c r="O4" i="18"/>
  <c r="Q4" i="18" s="1"/>
  <c r="X3" i="18"/>
  <c r="B3" i="18"/>
  <c r="C3" i="18" s="1"/>
  <c r="I4" i="18" s="1"/>
  <c r="L15" i="1"/>
  <c r="K15" i="1"/>
  <c r="O5" i="10"/>
  <c r="O4" i="10"/>
  <c r="J5" i="10"/>
  <c r="J4" i="10"/>
  <c r="N5" i="10"/>
  <c r="N4" i="10"/>
  <c r="I5" i="10"/>
  <c r="I4" i="10"/>
  <c r="E7" i="10"/>
  <c r="D7" i="10"/>
  <c r="E3" i="10"/>
  <c r="D3" i="10"/>
  <c r="L19" i="1"/>
  <c r="K19" i="1"/>
  <c r="V4" i="22" l="1"/>
  <c r="T4" i="21"/>
  <c r="S4" i="20"/>
  <c r="T4" i="18"/>
  <c r="O5" i="22"/>
  <c r="I5" i="22"/>
  <c r="F5" i="22"/>
  <c r="C5" i="22"/>
  <c r="C6" i="22" s="1"/>
  <c r="C7" i="22" s="1"/>
  <c r="C8" i="22" s="1"/>
  <c r="C9" i="22" s="1"/>
  <c r="C10" i="22" s="1"/>
  <c r="C11" i="22" s="1"/>
  <c r="C12" i="22" s="1"/>
  <c r="C13" i="22" s="1"/>
  <c r="C14" i="22" s="1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L5" i="22"/>
  <c r="P4" i="22"/>
  <c r="S4" i="22"/>
  <c r="T4" i="22"/>
  <c r="C3" i="22"/>
  <c r="C4" i="20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C15" i="20" s="1"/>
  <c r="C16" i="20" s="1"/>
  <c r="C17" i="20" s="1"/>
  <c r="C18" i="20" s="1"/>
  <c r="C19" i="20" s="1"/>
  <c r="C20" i="20" s="1"/>
  <c r="C21" i="20" s="1"/>
  <c r="C22" i="20" s="1"/>
  <c r="C23" i="20" s="1"/>
  <c r="C24" i="20" s="1"/>
  <c r="C25" i="20" s="1"/>
  <c r="C26" i="20" s="1"/>
  <c r="C27" i="20" s="1"/>
  <c r="C28" i="20" s="1"/>
  <c r="C29" i="20" s="1"/>
  <c r="C30" i="20" s="1"/>
  <c r="C31" i="20" s="1"/>
  <c r="C32" i="20" s="1"/>
  <c r="C33" i="20" s="1"/>
  <c r="L4" i="20"/>
  <c r="V4" i="20" s="1"/>
  <c r="Q4" i="21"/>
  <c r="C5" i="18"/>
  <c r="C6" i="18" s="1"/>
  <c r="C7" i="18" s="1"/>
  <c r="C8" i="18" s="1"/>
  <c r="C9" i="18" s="1"/>
  <c r="C10" i="18" s="1"/>
  <c r="C11" i="18" s="1"/>
  <c r="C12" i="18" s="1"/>
  <c r="C13" i="18" s="1"/>
  <c r="C14" i="18" s="1"/>
  <c r="C15" i="18" s="1"/>
  <c r="C16" i="18" s="1"/>
  <c r="C17" i="18" s="1"/>
  <c r="C18" i="18" s="1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C32" i="18" s="1"/>
  <c r="C33" i="18" s="1"/>
  <c r="C3" i="21"/>
  <c r="S4" i="21"/>
  <c r="F4" i="18"/>
  <c r="O5" i="18" s="1"/>
  <c r="F4" i="20"/>
  <c r="O5" i="20" s="1"/>
  <c r="L4" i="18"/>
  <c r="B4" i="18" s="1"/>
  <c r="U5" i="18" s="1"/>
  <c r="P4" i="20"/>
  <c r="V3" i="20"/>
  <c r="E3" i="20"/>
  <c r="Y3" i="20" s="1"/>
  <c r="T4" i="20"/>
  <c r="P4" i="18"/>
  <c r="E3" i="18"/>
  <c r="Y3" i="18" s="1"/>
  <c r="V3" i="18"/>
  <c r="S4" i="18"/>
  <c r="D8" i="17"/>
  <c r="T34" i="17"/>
  <c r="Y34" i="17" s="1"/>
  <c r="S34" i="17"/>
  <c r="X34" i="17" s="1"/>
  <c r="T33" i="17"/>
  <c r="Y33" i="17" s="1"/>
  <c r="S33" i="17"/>
  <c r="X33" i="17" s="1"/>
  <c r="T32" i="17"/>
  <c r="Y32" i="17" s="1"/>
  <c r="S32" i="17"/>
  <c r="X32" i="17" s="1"/>
  <c r="T31" i="17"/>
  <c r="Y31" i="17" s="1"/>
  <c r="S31" i="17"/>
  <c r="X31" i="17" s="1"/>
  <c r="T30" i="17"/>
  <c r="Y30" i="17" s="1"/>
  <c r="S30" i="17"/>
  <c r="X30" i="17" s="1"/>
  <c r="T29" i="17"/>
  <c r="Y29" i="17" s="1"/>
  <c r="S29" i="17"/>
  <c r="X29" i="17" s="1"/>
  <c r="T28" i="17"/>
  <c r="Y28" i="17" s="1"/>
  <c r="S28" i="17"/>
  <c r="X28" i="17" s="1"/>
  <c r="T27" i="17"/>
  <c r="Y27" i="17" s="1"/>
  <c r="S27" i="17"/>
  <c r="X27" i="17" s="1"/>
  <c r="T26" i="17"/>
  <c r="Y26" i="17" s="1"/>
  <c r="S26" i="17"/>
  <c r="X26" i="17" s="1"/>
  <c r="T25" i="17"/>
  <c r="Y25" i="17" s="1"/>
  <c r="S25" i="17"/>
  <c r="X25" i="17" s="1"/>
  <c r="T24" i="17"/>
  <c r="Y24" i="17" s="1"/>
  <c r="S24" i="17"/>
  <c r="X24" i="17" s="1"/>
  <c r="T23" i="17"/>
  <c r="Y23" i="17" s="1"/>
  <c r="S23" i="17"/>
  <c r="X23" i="17" s="1"/>
  <c r="T22" i="17"/>
  <c r="Y22" i="17" s="1"/>
  <c r="S22" i="17"/>
  <c r="X22" i="17" s="1"/>
  <c r="T21" i="17"/>
  <c r="Y21" i="17" s="1"/>
  <c r="S21" i="17"/>
  <c r="X21" i="17" s="1"/>
  <c r="T20" i="17"/>
  <c r="Y20" i="17" s="1"/>
  <c r="S20" i="17"/>
  <c r="X20" i="17" s="1"/>
  <c r="T19" i="17"/>
  <c r="Y19" i="17" s="1"/>
  <c r="S19" i="17"/>
  <c r="X19" i="17" s="1"/>
  <c r="T18" i="17"/>
  <c r="Y18" i="17" s="1"/>
  <c r="S18" i="17"/>
  <c r="X18" i="17" s="1"/>
  <c r="T17" i="17"/>
  <c r="Y17" i="17" s="1"/>
  <c r="S17" i="17"/>
  <c r="X17" i="17" s="1"/>
  <c r="T16" i="17"/>
  <c r="Y16" i="17" s="1"/>
  <c r="S16" i="17"/>
  <c r="X16" i="17" s="1"/>
  <c r="T15" i="17"/>
  <c r="Y15" i="17" s="1"/>
  <c r="S15" i="17"/>
  <c r="X15" i="17" s="1"/>
  <c r="T14" i="17"/>
  <c r="Y14" i="17" s="1"/>
  <c r="S14" i="17"/>
  <c r="X14" i="17" s="1"/>
  <c r="T13" i="17"/>
  <c r="Y13" i="17" s="1"/>
  <c r="S13" i="17"/>
  <c r="X13" i="17" s="1"/>
  <c r="T12" i="17"/>
  <c r="Y12" i="17" s="1"/>
  <c r="S12" i="17"/>
  <c r="X12" i="17" s="1"/>
  <c r="T11" i="17"/>
  <c r="Y11" i="17" s="1"/>
  <c r="S11" i="17"/>
  <c r="X11" i="17" s="1"/>
  <c r="T10" i="17"/>
  <c r="Y10" i="17" s="1"/>
  <c r="S10" i="17"/>
  <c r="X10" i="17" s="1"/>
  <c r="T9" i="17"/>
  <c r="Y9" i="17" s="1"/>
  <c r="S9" i="17"/>
  <c r="X9" i="17" s="1"/>
  <c r="E9" i="17"/>
  <c r="D9" i="17"/>
  <c r="T8" i="17"/>
  <c r="Y8" i="17" s="1"/>
  <c r="S8" i="17"/>
  <c r="X8" i="17" s="1"/>
  <c r="E8" i="17"/>
  <c r="T7" i="17"/>
  <c r="Y7" i="17" s="1"/>
  <c r="S7" i="17"/>
  <c r="X7" i="17" s="1"/>
  <c r="E7" i="17"/>
  <c r="D7" i="17"/>
  <c r="T6" i="17"/>
  <c r="Y6" i="17" s="1"/>
  <c r="S6" i="17"/>
  <c r="X6" i="17" s="1"/>
  <c r="E6" i="17"/>
  <c r="D6" i="17"/>
  <c r="T5" i="17"/>
  <c r="Y5" i="17" s="1"/>
  <c r="S5" i="17"/>
  <c r="X5" i="17" s="1"/>
  <c r="E5" i="17"/>
  <c r="D5" i="17"/>
  <c r="T4" i="17"/>
  <c r="Y4" i="17" s="1"/>
  <c r="S4" i="17"/>
  <c r="X4" i="17" s="1"/>
  <c r="E4" i="17"/>
  <c r="D8" i="16"/>
  <c r="T34" i="16"/>
  <c r="Y34" i="16" s="1"/>
  <c r="S34" i="16"/>
  <c r="X34" i="16" s="1"/>
  <c r="T33" i="16"/>
  <c r="Y33" i="16" s="1"/>
  <c r="S33" i="16"/>
  <c r="X33" i="16" s="1"/>
  <c r="T32" i="16"/>
  <c r="Y32" i="16" s="1"/>
  <c r="S32" i="16"/>
  <c r="X32" i="16" s="1"/>
  <c r="T31" i="16"/>
  <c r="Y31" i="16" s="1"/>
  <c r="S31" i="16"/>
  <c r="X31" i="16" s="1"/>
  <c r="T30" i="16"/>
  <c r="Y30" i="16" s="1"/>
  <c r="S30" i="16"/>
  <c r="X30" i="16" s="1"/>
  <c r="T29" i="16"/>
  <c r="Y29" i="16" s="1"/>
  <c r="S29" i="16"/>
  <c r="X29" i="16" s="1"/>
  <c r="T28" i="16"/>
  <c r="Y28" i="16" s="1"/>
  <c r="S28" i="16"/>
  <c r="X28" i="16" s="1"/>
  <c r="T27" i="16"/>
  <c r="Y27" i="16" s="1"/>
  <c r="S27" i="16"/>
  <c r="X27" i="16" s="1"/>
  <c r="T26" i="16"/>
  <c r="Y26" i="16" s="1"/>
  <c r="S26" i="16"/>
  <c r="X26" i="16" s="1"/>
  <c r="T25" i="16"/>
  <c r="Y25" i="16" s="1"/>
  <c r="S25" i="16"/>
  <c r="X25" i="16" s="1"/>
  <c r="T24" i="16"/>
  <c r="Y24" i="16" s="1"/>
  <c r="S24" i="16"/>
  <c r="X24" i="16" s="1"/>
  <c r="T23" i="16"/>
  <c r="Y23" i="16" s="1"/>
  <c r="S23" i="16"/>
  <c r="X23" i="16" s="1"/>
  <c r="T22" i="16"/>
  <c r="Y22" i="16" s="1"/>
  <c r="S22" i="16"/>
  <c r="X22" i="16" s="1"/>
  <c r="T21" i="16"/>
  <c r="Y21" i="16" s="1"/>
  <c r="S21" i="16"/>
  <c r="X21" i="16" s="1"/>
  <c r="T20" i="16"/>
  <c r="Y20" i="16" s="1"/>
  <c r="S20" i="16"/>
  <c r="X20" i="16" s="1"/>
  <c r="T19" i="16"/>
  <c r="Y19" i="16" s="1"/>
  <c r="S19" i="16"/>
  <c r="X19" i="16" s="1"/>
  <c r="T18" i="16"/>
  <c r="Y18" i="16" s="1"/>
  <c r="S18" i="16"/>
  <c r="X18" i="16" s="1"/>
  <c r="T17" i="16"/>
  <c r="Y17" i="16" s="1"/>
  <c r="S17" i="16"/>
  <c r="X17" i="16" s="1"/>
  <c r="T16" i="16"/>
  <c r="Y16" i="16" s="1"/>
  <c r="S16" i="16"/>
  <c r="X16" i="16" s="1"/>
  <c r="T15" i="16"/>
  <c r="Y15" i="16" s="1"/>
  <c r="S15" i="16"/>
  <c r="X15" i="16" s="1"/>
  <c r="T14" i="16"/>
  <c r="Y14" i="16" s="1"/>
  <c r="S14" i="16"/>
  <c r="X14" i="16" s="1"/>
  <c r="T13" i="16"/>
  <c r="Y13" i="16" s="1"/>
  <c r="S13" i="16"/>
  <c r="X13" i="16" s="1"/>
  <c r="T12" i="16"/>
  <c r="Y12" i="16" s="1"/>
  <c r="S12" i="16"/>
  <c r="X12" i="16" s="1"/>
  <c r="T11" i="16"/>
  <c r="Y11" i="16" s="1"/>
  <c r="S11" i="16"/>
  <c r="X11" i="16" s="1"/>
  <c r="T10" i="16"/>
  <c r="Y10" i="16" s="1"/>
  <c r="S10" i="16"/>
  <c r="X10" i="16" s="1"/>
  <c r="T9" i="16"/>
  <c r="Y9" i="16" s="1"/>
  <c r="S9" i="16"/>
  <c r="X9" i="16" s="1"/>
  <c r="E9" i="16"/>
  <c r="D9" i="16"/>
  <c r="T8" i="16"/>
  <c r="Y8" i="16" s="1"/>
  <c r="S8" i="16"/>
  <c r="X8" i="16" s="1"/>
  <c r="E8" i="16"/>
  <c r="T7" i="16"/>
  <c r="Y7" i="16" s="1"/>
  <c r="S7" i="16"/>
  <c r="X7" i="16" s="1"/>
  <c r="E7" i="16"/>
  <c r="D7" i="16"/>
  <c r="T6" i="16"/>
  <c r="Y6" i="16" s="1"/>
  <c r="S6" i="16"/>
  <c r="X6" i="16" s="1"/>
  <c r="E6" i="16"/>
  <c r="D6" i="16"/>
  <c r="T5" i="16"/>
  <c r="Y5" i="16" s="1"/>
  <c r="S5" i="16"/>
  <c r="X5" i="16" s="1"/>
  <c r="E5" i="16"/>
  <c r="D5" i="16"/>
  <c r="T4" i="16"/>
  <c r="Y4" i="16" s="1"/>
  <c r="S4" i="16"/>
  <c r="X4" i="16" s="1"/>
  <c r="E4" i="16"/>
  <c r="D8" i="15"/>
  <c r="T34" i="15"/>
  <c r="Y34" i="15" s="1"/>
  <c r="S34" i="15"/>
  <c r="X34" i="15" s="1"/>
  <c r="T33" i="15"/>
  <c r="Y33" i="15" s="1"/>
  <c r="S33" i="15"/>
  <c r="X33" i="15" s="1"/>
  <c r="T32" i="15"/>
  <c r="Y32" i="15" s="1"/>
  <c r="S32" i="15"/>
  <c r="X32" i="15" s="1"/>
  <c r="T31" i="15"/>
  <c r="Y31" i="15" s="1"/>
  <c r="S31" i="15"/>
  <c r="X31" i="15" s="1"/>
  <c r="T30" i="15"/>
  <c r="Y30" i="15" s="1"/>
  <c r="S30" i="15"/>
  <c r="X30" i="15" s="1"/>
  <c r="T29" i="15"/>
  <c r="Y29" i="15" s="1"/>
  <c r="S29" i="15"/>
  <c r="X29" i="15" s="1"/>
  <c r="T28" i="15"/>
  <c r="Y28" i="15" s="1"/>
  <c r="S28" i="15"/>
  <c r="X28" i="15" s="1"/>
  <c r="T27" i="15"/>
  <c r="Y27" i="15" s="1"/>
  <c r="S27" i="15"/>
  <c r="X27" i="15" s="1"/>
  <c r="T26" i="15"/>
  <c r="Y26" i="15" s="1"/>
  <c r="S26" i="15"/>
  <c r="X26" i="15" s="1"/>
  <c r="T25" i="15"/>
  <c r="Y25" i="15" s="1"/>
  <c r="S25" i="15"/>
  <c r="X25" i="15" s="1"/>
  <c r="T24" i="15"/>
  <c r="Y24" i="15" s="1"/>
  <c r="S24" i="15"/>
  <c r="X24" i="15" s="1"/>
  <c r="T23" i="15"/>
  <c r="Y23" i="15" s="1"/>
  <c r="S23" i="15"/>
  <c r="X23" i="15" s="1"/>
  <c r="T22" i="15"/>
  <c r="Y22" i="15" s="1"/>
  <c r="S22" i="15"/>
  <c r="X22" i="15" s="1"/>
  <c r="T21" i="15"/>
  <c r="Y21" i="15" s="1"/>
  <c r="S21" i="15"/>
  <c r="X21" i="15" s="1"/>
  <c r="T20" i="15"/>
  <c r="Y20" i="15" s="1"/>
  <c r="S20" i="15"/>
  <c r="X20" i="15" s="1"/>
  <c r="T19" i="15"/>
  <c r="Y19" i="15" s="1"/>
  <c r="S19" i="15"/>
  <c r="X19" i="15" s="1"/>
  <c r="T18" i="15"/>
  <c r="Y18" i="15" s="1"/>
  <c r="S18" i="15"/>
  <c r="X18" i="15" s="1"/>
  <c r="T17" i="15"/>
  <c r="Y17" i="15" s="1"/>
  <c r="S17" i="15"/>
  <c r="X17" i="15" s="1"/>
  <c r="T16" i="15"/>
  <c r="Y16" i="15" s="1"/>
  <c r="S16" i="15"/>
  <c r="X16" i="15" s="1"/>
  <c r="T15" i="15"/>
  <c r="Y15" i="15" s="1"/>
  <c r="S15" i="15"/>
  <c r="X15" i="15" s="1"/>
  <c r="T14" i="15"/>
  <c r="Y14" i="15" s="1"/>
  <c r="S14" i="15"/>
  <c r="X14" i="15" s="1"/>
  <c r="T13" i="15"/>
  <c r="Y13" i="15" s="1"/>
  <c r="S13" i="15"/>
  <c r="X13" i="15" s="1"/>
  <c r="T12" i="15"/>
  <c r="Y12" i="15" s="1"/>
  <c r="S12" i="15"/>
  <c r="X12" i="15" s="1"/>
  <c r="T11" i="15"/>
  <c r="Y11" i="15" s="1"/>
  <c r="S11" i="15"/>
  <c r="X11" i="15" s="1"/>
  <c r="T10" i="15"/>
  <c r="Y10" i="15" s="1"/>
  <c r="S10" i="15"/>
  <c r="X10" i="15" s="1"/>
  <c r="T9" i="15"/>
  <c r="Y9" i="15" s="1"/>
  <c r="S9" i="15"/>
  <c r="X9" i="15" s="1"/>
  <c r="E9" i="15"/>
  <c r="D9" i="15"/>
  <c r="T8" i="15"/>
  <c r="Y8" i="15" s="1"/>
  <c r="S8" i="15"/>
  <c r="X8" i="15" s="1"/>
  <c r="E8" i="15"/>
  <c r="T7" i="15"/>
  <c r="Y7" i="15" s="1"/>
  <c r="S7" i="15"/>
  <c r="X7" i="15" s="1"/>
  <c r="E7" i="15"/>
  <c r="D7" i="15"/>
  <c r="T6" i="15"/>
  <c r="Y6" i="15" s="1"/>
  <c r="S6" i="15"/>
  <c r="X6" i="15" s="1"/>
  <c r="E6" i="15"/>
  <c r="D6" i="15"/>
  <c r="T5" i="15"/>
  <c r="Y5" i="15" s="1"/>
  <c r="S5" i="15"/>
  <c r="X5" i="15" s="1"/>
  <c r="E5" i="15"/>
  <c r="D5" i="15"/>
  <c r="T4" i="15"/>
  <c r="Y4" i="15" s="1"/>
  <c r="S4" i="15"/>
  <c r="X4" i="15" s="1"/>
  <c r="E4" i="15"/>
  <c r="D8" i="13"/>
  <c r="D7" i="13"/>
  <c r="D6" i="13"/>
  <c r="D5" i="13"/>
  <c r="S5" i="13"/>
  <c r="X5" i="13" s="1"/>
  <c r="T5" i="13"/>
  <c r="Y5" i="13" s="1"/>
  <c r="S6" i="13"/>
  <c r="X6" i="13" s="1"/>
  <c r="T6" i="13"/>
  <c r="Y6" i="13" s="1"/>
  <c r="S7" i="13"/>
  <c r="X7" i="13" s="1"/>
  <c r="T7" i="13"/>
  <c r="Y7" i="13" s="1"/>
  <c r="S8" i="13"/>
  <c r="X8" i="13" s="1"/>
  <c r="T8" i="13"/>
  <c r="Y8" i="13" s="1"/>
  <c r="S9" i="13"/>
  <c r="X9" i="13" s="1"/>
  <c r="T9" i="13"/>
  <c r="Y9" i="13" s="1"/>
  <c r="S10" i="13"/>
  <c r="X10" i="13" s="1"/>
  <c r="T10" i="13"/>
  <c r="Y10" i="13" s="1"/>
  <c r="S11" i="13"/>
  <c r="X11" i="13" s="1"/>
  <c r="T11" i="13"/>
  <c r="Y11" i="13" s="1"/>
  <c r="S12" i="13"/>
  <c r="X12" i="13" s="1"/>
  <c r="T12" i="13"/>
  <c r="Y12" i="13" s="1"/>
  <c r="S13" i="13"/>
  <c r="X13" i="13" s="1"/>
  <c r="T13" i="13"/>
  <c r="Y13" i="13" s="1"/>
  <c r="S14" i="13"/>
  <c r="X14" i="13" s="1"/>
  <c r="T14" i="13"/>
  <c r="Y14" i="13" s="1"/>
  <c r="S15" i="13"/>
  <c r="X15" i="13" s="1"/>
  <c r="T15" i="13"/>
  <c r="Y15" i="13" s="1"/>
  <c r="S16" i="13"/>
  <c r="X16" i="13" s="1"/>
  <c r="T16" i="13"/>
  <c r="Y16" i="13" s="1"/>
  <c r="S17" i="13"/>
  <c r="X17" i="13" s="1"/>
  <c r="T17" i="13"/>
  <c r="Y17" i="13" s="1"/>
  <c r="S18" i="13"/>
  <c r="X18" i="13" s="1"/>
  <c r="T18" i="13"/>
  <c r="Y18" i="13" s="1"/>
  <c r="S19" i="13"/>
  <c r="X19" i="13" s="1"/>
  <c r="T19" i="13"/>
  <c r="Y19" i="13" s="1"/>
  <c r="S20" i="13"/>
  <c r="X20" i="13" s="1"/>
  <c r="T20" i="13"/>
  <c r="Y20" i="13" s="1"/>
  <c r="S21" i="13"/>
  <c r="X21" i="13" s="1"/>
  <c r="T21" i="13"/>
  <c r="Y21" i="13" s="1"/>
  <c r="S22" i="13"/>
  <c r="X22" i="13" s="1"/>
  <c r="T22" i="13"/>
  <c r="Y22" i="13" s="1"/>
  <c r="S23" i="13"/>
  <c r="X23" i="13" s="1"/>
  <c r="T23" i="13"/>
  <c r="Y23" i="13" s="1"/>
  <c r="S24" i="13"/>
  <c r="X24" i="13" s="1"/>
  <c r="T24" i="13"/>
  <c r="Y24" i="13" s="1"/>
  <c r="S25" i="13"/>
  <c r="X25" i="13" s="1"/>
  <c r="T25" i="13"/>
  <c r="Y25" i="13" s="1"/>
  <c r="S26" i="13"/>
  <c r="X26" i="13" s="1"/>
  <c r="T26" i="13"/>
  <c r="Y26" i="13" s="1"/>
  <c r="S27" i="13"/>
  <c r="X27" i="13" s="1"/>
  <c r="T27" i="13"/>
  <c r="Y27" i="13" s="1"/>
  <c r="S28" i="13"/>
  <c r="X28" i="13" s="1"/>
  <c r="T28" i="13"/>
  <c r="Y28" i="13" s="1"/>
  <c r="S29" i="13"/>
  <c r="X29" i="13" s="1"/>
  <c r="T29" i="13"/>
  <c r="Y29" i="13" s="1"/>
  <c r="S30" i="13"/>
  <c r="X30" i="13" s="1"/>
  <c r="T30" i="13"/>
  <c r="Y30" i="13" s="1"/>
  <c r="S31" i="13"/>
  <c r="X31" i="13" s="1"/>
  <c r="T31" i="13"/>
  <c r="Y31" i="13" s="1"/>
  <c r="S32" i="13"/>
  <c r="X32" i="13" s="1"/>
  <c r="T32" i="13"/>
  <c r="Y32" i="13" s="1"/>
  <c r="S33" i="13"/>
  <c r="X33" i="13" s="1"/>
  <c r="T33" i="13"/>
  <c r="Y33" i="13" s="1"/>
  <c r="S34" i="13"/>
  <c r="X34" i="13" s="1"/>
  <c r="T34" i="13"/>
  <c r="Y34" i="13" s="1"/>
  <c r="T4" i="13"/>
  <c r="Y4" i="13" s="1"/>
  <c r="S4" i="13"/>
  <c r="X4" i="13" s="1"/>
  <c r="D9" i="13"/>
  <c r="E9" i="13"/>
  <c r="E8" i="13"/>
  <c r="E7" i="13"/>
  <c r="E6" i="13"/>
  <c r="E5" i="13"/>
  <c r="E4" i="13"/>
  <c r="B5" i="22" l="1"/>
  <c r="L5" i="20"/>
  <c r="B4" i="20"/>
  <c r="U5" i="20" s="1"/>
  <c r="V4" i="18"/>
  <c r="F5" i="18"/>
  <c r="R5" i="22"/>
  <c r="V5" i="22" s="1"/>
  <c r="E3" i="22"/>
  <c r="Y3" i="22" s="1"/>
  <c r="I4" i="21"/>
  <c r="L4" i="21"/>
  <c r="F4" i="21"/>
  <c r="V3" i="22"/>
  <c r="L5" i="18"/>
  <c r="I5" i="18"/>
  <c r="R5" i="18"/>
  <c r="E3" i="21"/>
  <c r="Y3" i="21" s="1"/>
  <c r="F5" i="20"/>
  <c r="R5" i="20"/>
  <c r="V3" i="21"/>
  <c r="I5" i="20"/>
  <c r="B5" i="20" s="1"/>
  <c r="U6" i="20" s="1"/>
  <c r="G4" i="20"/>
  <c r="H4" i="20"/>
  <c r="K4" i="20"/>
  <c r="J4" i="20"/>
  <c r="N4" i="20"/>
  <c r="M4" i="20"/>
  <c r="E4" i="20"/>
  <c r="D4" i="20"/>
  <c r="G4" i="18"/>
  <c r="H4" i="18"/>
  <c r="K4" i="18"/>
  <c r="J4" i="18"/>
  <c r="N4" i="18"/>
  <c r="M4" i="18"/>
  <c r="E4" i="18"/>
  <c r="D4" i="18"/>
  <c r="Q27" i="12"/>
  <c r="Q20" i="12"/>
  <c r="AM31" i="12"/>
  <c r="AL31" i="12"/>
  <c r="AK31" i="12"/>
  <c r="AJ31" i="12"/>
  <c r="AI31" i="12"/>
  <c r="AH31" i="12"/>
  <c r="AM30" i="12"/>
  <c r="AK30" i="12"/>
  <c r="AH30" i="12"/>
  <c r="AL29" i="12"/>
  <c r="AI29" i="12"/>
  <c r="AH29" i="12"/>
  <c r="AM28" i="12"/>
  <c r="AH28" i="12"/>
  <c r="AM27" i="12"/>
  <c r="AK27" i="12"/>
  <c r="AH27" i="12"/>
  <c r="AM26" i="12"/>
  <c r="AL26" i="12"/>
  <c r="AM24" i="12"/>
  <c r="AL24" i="12"/>
  <c r="AK24" i="12"/>
  <c r="AJ24" i="12"/>
  <c r="AI24" i="12"/>
  <c r="AH24" i="12"/>
  <c r="AM23" i="12"/>
  <c r="AK23" i="12"/>
  <c r="AH23" i="12"/>
  <c r="AL22" i="12"/>
  <c r="AI22" i="12"/>
  <c r="AH22" i="12"/>
  <c r="AM21" i="12"/>
  <c r="AH21" i="12"/>
  <c r="AM20" i="12"/>
  <c r="AK20" i="12"/>
  <c r="AH20" i="12"/>
  <c r="AM19" i="12"/>
  <c r="AL19" i="12"/>
  <c r="AM17" i="12"/>
  <c r="AL17" i="12"/>
  <c r="AK17" i="12"/>
  <c r="AJ17" i="12"/>
  <c r="AI17" i="12"/>
  <c r="AH17" i="12"/>
  <c r="AM16" i="12"/>
  <c r="AK16" i="12"/>
  <c r="AH16" i="12"/>
  <c r="AL15" i="12"/>
  <c r="AI15" i="12"/>
  <c r="AH15" i="12"/>
  <c r="AM14" i="12"/>
  <c r="AH14" i="12"/>
  <c r="AM13" i="12"/>
  <c r="AK13" i="12"/>
  <c r="AH13" i="12"/>
  <c r="AM12" i="12"/>
  <c r="AL12" i="12"/>
  <c r="Q13" i="12"/>
  <c r="AH6" i="12"/>
  <c r="AK6" i="12"/>
  <c r="AM6" i="12"/>
  <c r="AH7" i="12"/>
  <c r="AM7" i="12"/>
  <c r="AH8" i="12"/>
  <c r="AI8" i="12"/>
  <c r="AL8" i="12"/>
  <c r="AH9" i="12"/>
  <c r="AK9" i="12"/>
  <c r="AM9" i="12"/>
  <c r="AH10" i="12"/>
  <c r="AI10" i="12"/>
  <c r="AJ10" i="12"/>
  <c r="AK10" i="12"/>
  <c r="AL10" i="12"/>
  <c r="AM10" i="12"/>
  <c r="AL5" i="12"/>
  <c r="AM5" i="12"/>
  <c r="F36" i="1"/>
  <c r="F38" i="1" s="1"/>
  <c r="F35" i="1"/>
  <c r="F37" i="1" s="1"/>
  <c r="F32" i="1"/>
  <c r="H7" i="12" s="1"/>
  <c r="AL7" i="12" s="1"/>
  <c r="F31" i="1"/>
  <c r="G7" i="12" s="1"/>
  <c r="AK7" i="12" s="1"/>
  <c r="F30" i="1"/>
  <c r="E7" i="12" s="1"/>
  <c r="AI7" i="12" s="1"/>
  <c r="F29" i="1"/>
  <c r="F28" i="1"/>
  <c r="F6" i="12" s="1"/>
  <c r="AJ6" i="12" s="1"/>
  <c r="F27" i="1"/>
  <c r="G5" i="12" s="1"/>
  <c r="AK5" i="12" s="1"/>
  <c r="F26" i="1"/>
  <c r="F5" i="12" s="1"/>
  <c r="AJ5" i="12" s="1"/>
  <c r="F25" i="1"/>
  <c r="E5" i="12" s="1"/>
  <c r="AI5" i="12" s="1"/>
  <c r="F34" i="1"/>
  <c r="I8" i="12" s="1"/>
  <c r="AM8" i="12" s="1"/>
  <c r="F33" i="1"/>
  <c r="F8" i="12" s="1"/>
  <c r="AJ8" i="12" s="1"/>
  <c r="V4" i="21" l="1"/>
  <c r="B4" i="21"/>
  <c r="U5" i="21" s="1"/>
  <c r="V5" i="20"/>
  <c r="V5" i="18"/>
  <c r="O6" i="18"/>
  <c r="B5" i="18"/>
  <c r="U6" i="18" s="1"/>
  <c r="O5" i="21"/>
  <c r="C5" i="21"/>
  <c r="C6" i="21" s="1"/>
  <c r="C7" i="21" s="1"/>
  <c r="C8" i="21" s="1"/>
  <c r="C9" i="21" s="1"/>
  <c r="C10" i="21" s="1"/>
  <c r="C11" i="21" s="1"/>
  <c r="C12" i="21" s="1"/>
  <c r="C13" i="21" s="1"/>
  <c r="C14" i="21" s="1"/>
  <c r="C15" i="21" s="1"/>
  <c r="C16" i="21" s="1"/>
  <c r="C17" i="21" s="1"/>
  <c r="C18" i="21" s="1"/>
  <c r="C19" i="21" s="1"/>
  <c r="C20" i="21" s="1"/>
  <c r="C21" i="21" s="1"/>
  <c r="C22" i="21" s="1"/>
  <c r="C23" i="21" s="1"/>
  <c r="C24" i="21" s="1"/>
  <c r="C25" i="21" s="1"/>
  <c r="C26" i="21" s="1"/>
  <c r="C27" i="21" s="1"/>
  <c r="C28" i="21" s="1"/>
  <c r="C29" i="21" s="1"/>
  <c r="C30" i="21" s="1"/>
  <c r="C31" i="21" s="1"/>
  <c r="C32" i="21" s="1"/>
  <c r="C33" i="21" s="1"/>
  <c r="F5" i="21"/>
  <c r="L5" i="21"/>
  <c r="R5" i="21"/>
  <c r="I5" i="21"/>
  <c r="K4" i="22"/>
  <c r="J4" i="22"/>
  <c r="H4" i="22"/>
  <c r="N4" i="22"/>
  <c r="M4" i="22"/>
  <c r="F6" i="22"/>
  <c r="R6" i="22"/>
  <c r="D4" i="22"/>
  <c r="E4" i="22"/>
  <c r="I6" i="22"/>
  <c r="R6" i="20"/>
  <c r="L6" i="18"/>
  <c r="I6" i="18"/>
  <c r="F6" i="18"/>
  <c r="R6" i="18"/>
  <c r="H4" i="21"/>
  <c r="G4" i="21"/>
  <c r="K4" i="21"/>
  <c r="J4" i="21"/>
  <c r="M4" i="21"/>
  <c r="N4" i="21"/>
  <c r="E4" i="21"/>
  <c r="D4" i="21"/>
  <c r="L6" i="20"/>
  <c r="O6" i="20"/>
  <c r="F6" i="20"/>
  <c r="I6" i="20"/>
  <c r="E5" i="20"/>
  <c r="D5" i="20"/>
  <c r="T5" i="20"/>
  <c r="S5" i="20"/>
  <c r="H5" i="20"/>
  <c r="G5" i="20"/>
  <c r="X4" i="20"/>
  <c r="K5" i="20"/>
  <c r="J5" i="20"/>
  <c r="Y4" i="20"/>
  <c r="M5" i="20"/>
  <c r="N5" i="20"/>
  <c r="Q5" i="20"/>
  <c r="P5" i="20"/>
  <c r="Y4" i="18"/>
  <c r="T5" i="18"/>
  <c r="S5" i="18"/>
  <c r="E5" i="18"/>
  <c r="D5" i="18"/>
  <c r="X4" i="18"/>
  <c r="M5" i="18"/>
  <c r="N5" i="18"/>
  <c r="H5" i="18"/>
  <c r="G5" i="18"/>
  <c r="J5" i="18"/>
  <c r="K5" i="18"/>
  <c r="Q5" i="18"/>
  <c r="P5" i="18"/>
  <c r="E6" i="12"/>
  <c r="AI6" i="12" s="1"/>
  <c r="N13" i="12"/>
  <c r="P13" i="12"/>
  <c r="H16" i="12"/>
  <c r="AL16" i="12" s="1"/>
  <c r="E20" i="12"/>
  <c r="AI20" i="12" s="1"/>
  <c r="F40" i="1"/>
  <c r="F23" i="12" s="1"/>
  <c r="AJ23" i="12" s="1"/>
  <c r="E26" i="12"/>
  <c r="AI26" i="12" s="1"/>
  <c r="F41" i="1"/>
  <c r="E30" i="12" s="1"/>
  <c r="AI30" i="12" s="1"/>
  <c r="F26" i="12"/>
  <c r="AJ26" i="12" s="1"/>
  <c r="F39" i="1"/>
  <c r="G19" i="12"/>
  <c r="AK19" i="12" s="1"/>
  <c r="D26" i="12"/>
  <c r="AH26" i="12" s="1"/>
  <c r="N19" i="12"/>
  <c r="H27" i="12"/>
  <c r="AL27" i="12" s="1"/>
  <c r="E13" i="12"/>
  <c r="AI13" i="12" s="1"/>
  <c r="G29" i="12"/>
  <c r="AK29" i="12" s="1"/>
  <c r="M19" i="12"/>
  <c r="F13" i="12"/>
  <c r="AJ13" i="12" s="1"/>
  <c r="N26" i="12"/>
  <c r="I29" i="12"/>
  <c r="AM29" i="12" s="1"/>
  <c r="G12" i="12"/>
  <c r="AK12" i="12" s="1"/>
  <c r="H13" i="12"/>
  <c r="AL13" i="12" s="1"/>
  <c r="O26" i="12"/>
  <c r="F15" i="12"/>
  <c r="AJ15" i="12" s="1"/>
  <c r="N27" i="12"/>
  <c r="N12" i="12"/>
  <c r="O12" i="12"/>
  <c r="F19" i="12"/>
  <c r="AJ19" i="12" s="1"/>
  <c r="M7" i="12"/>
  <c r="F42" i="1"/>
  <c r="N20" i="12"/>
  <c r="P27" i="12"/>
  <c r="F20" i="12"/>
  <c r="AJ20" i="12" s="1"/>
  <c r="G26" i="12"/>
  <c r="AK26" i="12" s="1"/>
  <c r="O7" i="12"/>
  <c r="N8" i="12"/>
  <c r="E9" i="12"/>
  <c r="Q8" i="12"/>
  <c r="E14" i="12"/>
  <c r="AI14" i="12" s="1"/>
  <c r="E16" i="12"/>
  <c r="AI16" i="12" s="1"/>
  <c r="P20" i="12"/>
  <c r="H20" i="12"/>
  <c r="AL20" i="12" s="1"/>
  <c r="E27" i="12"/>
  <c r="AI27" i="12" s="1"/>
  <c r="F14" i="12"/>
  <c r="AJ14" i="12" s="1"/>
  <c r="M14" i="12"/>
  <c r="F16" i="12"/>
  <c r="AJ16" i="12" s="1"/>
  <c r="M28" i="12"/>
  <c r="E21" i="12"/>
  <c r="AI21" i="12" s="1"/>
  <c r="F27" i="12"/>
  <c r="AJ27" i="12" s="1"/>
  <c r="P7" i="12"/>
  <c r="G14" i="12"/>
  <c r="AK14" i="12" s="1"/>
  <c r="F21" i="12"/>
  <c r="AJ21" i="12" s="1"/>
  <c r="O14" i="12"/>
  <c r="O28" i="12"/>
  <c r="M5" i="12"/>
  <c r="H14" i="12"/>
  <c r="AL14" i="12" s="1"/>
  <c r="P14" i="12"/>
  <c r="O21" i="12"/>
  <c r="P28" i="12"/>
  <c r="G21" i="12"/>
  <c r="AK21" i="12" s="1"/>
  <c r="E28" i="12"/>
  <c r="AI28" i="12" s="1"/>
  <c r="H9" i="12"/>
  <c r="AL9" i="12" s="1"/>
  <c r="P21" i="12"/>
  <c r="N29" i="12"/>
  <c r="H21" i="12"/>
  <c r="AL21" i="12" s="1"/>
  <c r="F28" i="12"/>
  <c r="AJ28" i="12" s="1"/>
  <c r="F9" i="12"/>
  <c r="N15" i="12"/>
  <c r="O5" i="12"/>
  <c r="D12" i="12"/>
  <c r="AH12" i="12" s="1"/>
  <c r="G15" i="12"/>
  <c r="AK15" i="12" s="1"/>
  <c r="Q15" i="12"/>
  <c r="N22" i="12"/>
  <c r="Q29" i="12"/>
  <c r="F22" i="12"/>
  <c r="AJ22" i="12" s="1"/>
  <c r="G28" i="12"/>
  <c r="AK28" i="12" s="1"/>
  <c r="O19" i="12"/>
  <c r="M21" i="12"/>
  <c r="N6" i="12"/>
  <c r="E12" i="12"/>
  <c r="AI12" i="12" s="1"/>
  <c r="I15" i="12"/>
  <c r="AM15" i="12" s="1"/>
  <c r="Q22" i="12"/>
  <c r="D19" i="12"/>
  <c r="AH19" i="12" s="1"/>
  <c r="G22" i="12"/>
  <c r="AK22" i="12" s="1"/>
  <c r="H28" i="12"/>
  <c r="AL28" i="12" s="1"/>
  <c r="N5" i="12"/>
  <c r="P6" i="12"/>
  <c r="F12" i="12"/>
  <c r="AJ12" i="12" s="1"/>
  <c r="M12" i="12"/>
  <c r="M26" i="12"/>
  <c r="E19" i="12"/>
  <c r="AI19" i="12" s="1"/>
  <c r="I22" i="12"/>
  <c r="AM22" i="12" s="1"/>
  <c r="F29" i="12"/>
  <c r="AJ29" i="12" s="1"/>
  <c r="G8" i="12"/>
  <c r="AK8" i="12" s="1"/>
  <c r="H6" i="12"/>
  <c r="AL6" i="12" s="1"/>
  <c r="F7" i="12"/>
  <c r="AJ7" i="12" s="1"/>
  <c r="D5" i="12"/>
  <c r="AH5" i="12" s="1"/>
  <c r="Q6" i="12"/>
  <c r="M5" i="10"/>
  <c r="M4" i="10"/>
  <c r="H5" i="10"/>
  <c r="H4" i="10"/>
  <c r="L5" i="10"/>
  <c r="L4" i="10"/>
  <c r="G5" i="10"/>
  <c r="G4" i="10"/>
  <c r="F6" i="21" l="1"/>
  <c r="B5" i="21"/>
  <c r="U6" i="21" s="1"/>
  <c r="V6" i="20"/>
  <c r="V5" i="21"/>
  <c r="V6" i="18"/>
  <c r="B6" i="20"/>
  <c r="U7" i="20" s="1"/>
  <c r="B6" i="18"/>
  <c r="U7" i="18" s="1"/>
  <c r="U6" i="22"/>
  <c r="O6" i="22"/>
  <c r="L6" i="22"/>
  <c r="B6" i="22" s="1"/>
  <c r="O6" i="21"/>
  <c r="L6" i="21"/>
  <c r="I6" i="21"/>
  <c r="R7" i="20"/>
  <c r="H5" i="22"/>
  <c r="Y4" i="22"/>
  <c r="X4" i="22"/>
  <c r="Q5" i="22"/>
  <c r="P5" i="22"/>
  <c r="K5" i="22"/>
  <c r="J5" i="22"/>
  <c r="N5" i="22"/>
  <c r="M5" i="22"/>
  <c r="E5" i="22"/>
  <c r="D5" i="22"/>
  <c r="R6" i="21"/>
  <c r="T5" i="22"/>
  <c r="S5" i="22"/>
  <c r="O7" i="18"/>
  <c r="F7" i="18"/>
  <c r="R7" i="18"/>
  <c r="L7" i="18"/>
  <c r="I7" i="18"/>
  <c r="L7" i="20"/>
  <c r="Y4" i="21"/>
  <c r="M5" i="21"/>
  <c r="N5" i="21"/>
  <c r="E5" i="21"/>
  <c r="D5" i="21"/>
  <c r="T5" i="21"/>
  <c r="S5" i="21"/>
  <c r="X4" i="21"/>
  <c r="H5" i="21"/>
  <c r="G5" i="21"/>
  <c r="Q5" i="21"/>
  <c r="P5" i="21"/>
  <c r="K5" i="21"/>
  <c r="J5" i="21"/>
  <c r="O7" i="20"/>
  <c r="I7" i="20"/>
  <c r="F7" i="20"/>
  <c r="Q6" i="20"/>
  <c r="P6" i="20"/>
  <c r="S6" i="20"/>
  <c r="T6" i="20"/>
  <c r="N6" i="20"/>
  <c r="M6" i="20"/>
  <c r="K6" i="20"/>
  <c r="J6" i="20"/>
  <c r="H23" i="12"/>
  <c r="AL23" i="12" s="1"/>
  <c r="E6" i="20"/>
  <c r="D6" i="20"/>
  <c r="X5" i="20"/>
  <c r="G6" i="20"/>
  <c r="H6" i="20"/>
  <c r="Y5" i="20"/>
  <c r="M6" i="18"/>
  <c r="N6" i="18"/>
  <c r="K6" i="18"/>
  <c r="J6" i="18"/>
  <c r="D6" i="18"/>
  <c r="E6" i="18"/>
  <c r="X5" i="18"/>
  <c r="P6" i="18"/>
  <c r="Q6" i="18"/>
  <c r="G6" i="18"/>
  <c r="H6" i="18"/>
  <c r="Y5" i="18"/>
  <c r="S6" i="18"/>
  <c r="T6" i="18"/>
  <c r="M13" i="12"/>
  <c r="H30" i="12"/>
  <c r="AL30" i="12" s="1"/>
  <c r="O8" i="12"/>
  <c r="O29" i="12"/>
  <c r="L19" i="12"/>
  <c r="M27" i="12"/>
  <c r="L12" i="12"/>
  <c r="E23" i="12"/>
  <c r="AI23" i="12" s="1"/>
  <c r="AO19" i="12" s="1" a="1"/>
  <c r="AO19" i="12" s="1"/>
  <c r="F30" i="12"/>
  <c r="AJ30" i="12" s="1"/>
  <c r="N7" i="12"/>
  <c r="AO12" i="12" a="1"/>
  <c r="AO12" i="12" s="1"/>
  <c r="O15" i="12"/>
  <c r="M6" i="12"/>
  <c r="L26" i="12"/>
  <c r="N21" i="12"/>
  <c r="L5" i="12"/>
  <c r="N14" i="12"/>
  <c r="M20" i="12"/>
  <c r="O22" i="12"/>
  <c r="M9" i="12"/>
  <c r="AI9" i="12"/>
  <c r="M16" i="12"/>
  <c r="N16" i="12"/>
  <c r="N9" i="12"/>
  <c r="AJ9" i="12"/>
  <c r="N28" i="12"/>
  <c r="V6" i="22" l="1"/>
  <c r="B6" i="21"/>
  <c r="U7" i="21" s="1"/>
  <c r="V6" i="21"/>
  <c r="V7" i="20"/>
  <c r="B7" i="20"/>
  <c r="U8" i="20" s="1"/>
  <c r="V7" i="18"/>
  <c r="B7" i="18"/>
  <c r="U8" i="18" s="1"/>
  <c r="I7" i="22"/>
  <c r="O8" i="18"/>
  <c r="L7" i="22"/>
  <c r="R7" i="22"/>
  <c r="U7" i="22"/>
  <c r="O7" i="21"/>
  <c r="F7" i="22"/>
  <c r="O7" i="22"/>
  <c r="R8" i="20"/>
  <c r="R7" i="21"/>
  <c r="R8" i="18"/>
  <c r="I7" i="21"/>
  <c r="F7" i="21"/>
  <c r="L7" i="21"/>
  <c r="S6" i="22"/>
  <c r="T6" i="22"/>
  <c r="I8" i="18"/>
  <c r="N6" i="22"/>
  <c r="M6" i="22"/>
  <c r="K6" i="22"/>
  <c r="J6" i="22"/>
  <c r="E6" i="22"/>
  <c r="D6" i="22"/>
  <c r="X5" i="22"/>
  <c r="G6" i="22"/>
  <c r="H6" i="22"/>
  <c r="Y5" i="22"/>
  <c r="Q6" i="22"/>
  <c r="P6" i="22"/>
  <c r="L8" i="18"/>
  <c r="F8" i="18"/>
  <c r="L8" i="20"/>
  <c r="X5" i="21"/>
  <c r="Y5" i="21"/>
  <c r="K6" i="21"/>
  <c r="J6" i="21"/>
  <c r="H6" i="21"/>
  <c r="G6" i="21"/>
  <c r="Q6" i="21"/>
  <c r="P6" i="21"/>
  <c r="M6" i="21"/>
  <c r="N6" i="21"/>
  <c r="E6" i="21"/>
  <c r="D6" i="21"/>
  <c r="O8" i="20"/>
  <c r="S6" i="21"/>
  <c r="T6" i="21"/>
  <c r="I8" i="20"/>
  <c r="F8" i="20"/>
  <c r="T7" i="20"/>
  <c r="S7" i="20"/>
  <c r="AO26" i="12" a="1"/>
  <c r="AO26" i="12" s="1"/>
  <c r="AV26" i="12" s="1" a="1"/>
  <c r="D7" i="20"/>
  <c r="E7" i="20"/>
  <c r="X6" i="20"/>
  <c r="H7" i="20"/>
  <c r="G7" i="20"/>
  <c r="Y6" i="20"/>
  <c r="K7" i="20"/>
  <c r="J7" i="20"/>
  <c r="M7" i="20"/>
  <c r="N7" i="20"/>
  <c r="Q7" i="20"/>
  <c r="P7" i="20"/>
  <c r="K7" i="18"/>
  <c r="J7" i="18"/>
  <c r="X6" i="18"/>
  <c r="Q7" i="18"/>
  <c r="P7" i="18"/>
  <c r="Y6" i="18"/>
  <c r="H7" i="18"/>
  <c r="G7" i="18"/>
  <c r="D7" i="18"/>
  <c r="E7" i="18"/>
  <c r="N7" i="18"/>
  <c r="M7" i="18"/>
  <c r="T7" i="18"/>
  <c r="S7" i="18"/>
  <c r="AO5" i="12" a="1"/>
  <c r="AO5" i="12" s="1"/>
  <c r="AV5" i="12" s="1" a="1"/>
  <c r="N23" i="12"/>
  <c r="M23" i="12"/>
  <c r="P23" i="12" s="1"/>
  <c r="H5" i="16" s="1" a="1"/>
  <c r="H5" i="16" s="1"/>
  <c r="M30" i="12"/>
  <c r="P16" i="12"/>
  <c r="H5" i="15" s="1" a="1"/>
  <c r="H5" i="15" s="1"/>
  <c r="H6" i="15" s="1" a="1"/>
  <c r="H6" i="15" s="1"/>
  <c r="H7" i="15" s="1" a="1"/>
  <c r="H7" i="15" s="1"/>
  <c r="H8" i="15" s="1" a="1"/>
  <c r="H8" i="15" s="1"/>
  <c r="H9" i="15" s="1" a="1"/>
  <c r="H9" i="15" s="1"/>
  <c r="H10" i="15" s="1" a="1"/>
  <c r="H10" i="15" s="1"/>
  <c r="H11" i="15" s="1" a="1"/>
  <c r="H11" i="15" s="1"/>
  <c r="H12" i="15" s="1" a="1"/>
  <c r="H12" i="15" s="1"/>
  <c r="H13" i="15" s="1" a="1"/>
  <c r="H13" i="15" s="1"/>
  <c r="H14" i="15" s="1" a="1"/>
  <c r="H14" i="15" s="1"/>
  <c r="H15" i="15" s="1" a="1"/>
  <c r="H15" i="15" s="1"/>
  <c r="H16" i="15" s="1" a="1"/>
  <c r="H16" i="15" s="1"/>
  <c r="H17" i="15" s="1" a="1"/>
  <c r="H17" i="15" s="1"/>
  <c r="H18" i="15" s="1" a="1"/>
  <c r="H18" i="15" s="1"/>
  <c r="H19" i="15" s="1" a="1"/>
  <c r="H19" i="15" s="1"/>
  <c r="H20" i="15" s="1" a="1"/>
  <c r="H20" i="15" s="1"/>
  <c r="H21" i="15" s="1" a="1"/>
  <c r="H21" i="15" s="1"/>
  <c r="H22" i="15" s="1" a="1"/>
  <c r="H22" i="15" s="1"/>
  <c r="H23" i="15" s="1" a="1"/>
  <c r="H23" i="15" s="1"/>
  <c r="H24" i="15" s="1" a="1"/>
  <c r="H24" i="15" s="1"/>
  <c r="H25" i="15" s="1" a="1"/>
  <c r="H25" i="15" s="1"/>
  <c r="H26" i="15" s="1" a="1"/>
  <c r="H26" i="15" s="1"/>
  <c r="H27" i="15" s="1" a="1"/>
  <c r="H27" i="15" s="1"/>
  <c r="H28" i="15" s="1" a="1"/>
  <c r="H28" i="15" s="1"/>
  <c r="H29" i="15" s="1" a="1"/>
  <c r="H29" i="15" s="1"/>
  <c r="H30" i="15" s="1" a="1"/>
  <c r="H30" i="15" s="1"/>
  <c r="H31" i="15" s="1" a="1"/>
  <c r="H31" i="15" s="1"/>
  <c r="H32" i="15" s="1" a="1"/>
  <c r="H32" i="15" s="1"/>
  <c r="H33" i="15" s="1" a="1"/>
  <c r="H33" i="15" s="1"/>
  <c r="H34" i="15" s="1" a="1"/>
  <c r="H34" i="15" s="1"/>
  <c r="N30" i="12"/>
  <c r="P9" i="12"/>
  <c r="H5" i="13" a="1"/>
  <c r="H5" i="13" s="1"/>
  <c r="AV12" i="12" a="1"/>
  <c r="AV19" i="12" a="1"/>
  <c r="O4" i="9"/>
  <c r="Q4" i="9" s="1"/>
  <c r="R4" i="9"/>
  <c r="T4" i="9" s="1"/>
  <c r="W3" i="9"/>
  <c r="B3" i="9"/>
  <c r="C3" i="9" s="1"/>
  <c r="O4" i="8"/>
  <c r="Q4" i="8" s="1"/>
  <c r="R4" i="8"/>
  <c r="T4" i="8" s="1"/>
  <c r="W3" i="8"/>
  <c r="B3" i="8"/>
  <c r="B7" i="22" l="1"/>
  <c r="V7" i="22"/>
  <c r="B7" i="21"/>
  <c r="U8" i="21" s="1"/>
  <c r="B8" i="20"/>
  <c r="U9" i="20" s="1"/>
  <c r="V7" i="21"/>
  <c r="R8" i="22"/>
  <c r="L8" i="22"/>
  <c r="R9" i="22" s="1"/>
  <c r="V8" i="20"/>
  <c r="V8" i="18"/>
  <c r="B8" i="18"/>
  <c r="U9" i="18" s="1"/>
  <c r="R8" i="21"/>
  <c r="U8" i="22"/>
  <c r="R9" i="20"/>
  <c r="O9" i="18"/>
  <c r="I8" i="22"/>
  <c r="F8" i="22"/>
  <c r="O8" i="21"/>
  <c r="O8" i="22"/>
  <c r="R9" i="18"/>
  <c r="L8" i="21"/>
  <c r="L9" i="18"/>
  <c r="F9" i="18"/>
  <c r="Y6" i="22"/>
  <c r="Q7" i="22"/>
  <c r="P7" i="22"/>
  <c r="J7" i="22"/>
  <c r="K7" i="22"/>
  <c r="T7" i="22"/>
  <c r="S7" i="22"/>
  <c r="N7" i="22"/>
  <c r="M7" i="22"/>
  <c r="D7" i="22"/>
  <c r="E7" i="22"/>
  <c r="X6" i="22"/>
  <c r="H7" i="22"/>
  <c r="G7" i="22"/>
  <c r="L9" i="20"/>
  <c r="I8" i="21"/>
  <c r="F8" i="21"/>
  <c r="T7" i="21"/>
  <c r="S7" i="21"/>
  <c r="P7" i="21"/>
  <c r="Q7" i="21"/>
  <c r="X6" i="21"/>
  <c r="Y6" i="21"/>
  <c r="K7" i="21"/>
  <c r="J7" i="21"/>
  <c r="O9" i="20"/>
  <c r="M7" i="21"/>
  <c r="N7" i="21"/>
  <c r="H7" i="21"/>
  <c r="G7" i="21"/>
  <c r="E7" i="21"/>
  <c r="D7" i="21"/>
  <c r="I9" i="20"/>
  <c r="F9" i="20"/>
  <c r="Y7" i="20"/>
  <c r="N8" i="20"/>
  <c r="M8" i="20"/>
  <c r="E8" i="20"/>
  <c r="D8" i="20"/>
  <c r="X7" i="20"/>
  <c r="G8" i="20"/>
  <c r="H8" i="20"/>
  <c r="K8" i="20"/>
  <c r="J8" i="20"/>
  <c r="T8" i="20"/>
  <c r="S8" i="20"/>
  <c r="Q8" i="20"/>
  <c r="P8" i="20"/>
  <c r="I9" i="18"/>
  <c r="E8" i="18"/>
  <c r="D8" i="18"/>
  <c r="Q8" i="18"/>
  <c r="P8" i="18"/>
  <c r="T8" i="18"/>
  <c r="S8" i="18"/>
  <c r="Y7" i="18"/>
  <c r="K8" i="18"/>
  <c r="J8" i="18"/>
  <c r="I4" i="9"/>
  <c r="E3" i="9"/>
  <c r="X3" i="9" s="1"/>
  <c r="N8" i="18"/>
  <c r="M8" i="18"/>
  <c r="H8" i="18"/>
  <c r="G8" i="18"/>
  <c r="X7" i="18"/>
  <c r="P30" i="12"/>
  <c r="H5" i="17" s="1" a="1"/>
  <c r="H5" i="17" s="1"/>
  <c r="H6" i="17" s="1" a="1"/>
  <c r="H6" i="17" s="1"/>
  <c r="H7" i="17" s="1" a="1"/>
  <c r="H7" i="17" s="1"/>
  <c r="H8" i="17" s="1" a="1"/>
  <c r="H8" i="17" s="1"/>
  <c r="H9" i="17" s="1" a="1"/>
  <c r="H9" i="17" s="1"/>
  <c r="H10" i="17" s="1" a="1"/>
  <c r="H10" i="17" s="1"/>
  <c r="H11" i="17" s="1" a="1"/>
  <c r="H11" i="17" s="1"/>
  <c r="H12" i="17" s="1" a="1"/>
  <c r="H12" i="17" s="1"/>
  <c r="H13" i="17" s="1" a="1"/>
  <c r="H13" i="17" s="1"/>
  <c r="H14" i="17" s="1" a="1"/>
  <c r="H14" i="17" s="1"/>
  <c r="H15" i="17" s="1" a="1"/>
  <c r="H15" i="17" s="1"/>
  <c r="H16" i="17" s="1" a="1"/>
  <c r="H16" i="17" s="1"/>
  <c r="H17" i="17" s="1" a="1"/>
  <c r="H17" i="17" s="1"/>
  <c r="H18" i="17" s="1" a="1"/>
  <c r="H18" i="17" s="1"/>
  <c r="H19" i="17" s="1" a="1"/>
  <c r="H19" i="17" s="1"/>
  <c r="H20" i="17" s="1" a="1"/>
  <c r="H20" i="17" s="1"/>
  <c r="H21" i="17" s="1" a="1"/>
  <c r="H21" i="17" s="1"/>
  <c r="H22" i="17" s="1" a="1"/>
  <c r="H22" i="17" s="1"/>
  <c r="H23" i="17" s="1" a="1"/>
  <c r="H23" i="17" s="1"/>
  <c r="H24" i="17" s="1" a="1"/>
  <c r="H24" i="17" s="1"/>
  <c r="H25" i="17" s="1" a="1"/>
  <c r="H25" i="17" s="1"/>
  <c r="H26" i="17" s="1" a="1"/>
  <c r="H26" i="17" s="1"/>
  <c r="H27" i="17" s="1" a="1"/>
  <c r="H27" i="17" s="1"/>
  <c r="H28" i="17" s="1" a="1"/>
  <c r="H28" i="17" s="1"/>
  <c r="H29" i="17" s="1" a="1"/>
  <c r="H29" i="17" s="1"/>
  <c r="H30" i="17" s="1" a="1"/>
  <c r="H30" i="17" s="1"/>
  <c r="H31" i="17" s="1" a="1"/>
  <c r="H31" i="17" s="1"/>
  <c r="H32" i="17" s="1" a="1"/>
  <c r="H32" i="17" s="1"/>
  <c r="H33" i="17" s="1" a="1"/>
  <c r="H33" i="17" s="1"/>
  <c r="H34" i="17" s="1" a="1"/>
  <c r="H34" i="17" s="1"/>
  <c r="H6" i="16" a="1"/>
  <c r="H6" i="16" s="1"/>
  <c r="H7" i="16" s="1" a="1"/>
  <c r="H7" i="16" s="1"/>
  <c r="H8" i="16" s="1" a="1"/>
  <c r="H8" i="16" s="1"/>
  <c r="H9" i="16" s="1" a="1"/>
  <c r="H9" i="16" s="1"/>
  <c r="H10" i="16" s="1" a="1"/>
  <c r="H10" i="16" s="1"/>
  <c r="H11" i="16" s="1" a="1"/>
  <c r="H11" i="16" s="1"/>
  <c r="H12" i="16" s="1" a="1"/>
  <c r="H12" i="16" s="1"/>
  <c r="H13" i="16" s="1" a="1"/>
  <c r="H13" i="16" s="1"/>
  <c r="H14" i="16" s="1" a="1"/>
  <c r="H14" i="16" s="1"/>
  <c r="H15" i="16" s="1" a="1"/>
  <c r="H15" i="16" s="1"/>
  <c r="H16" i="16" s="1" a="1"/>
  <c r="H16" i="16" s="1"/>
  <c r="H17" i="16" s="1" a="1"/>
  <c r="H17" i="16" s="1"/>
  <c r="H18" i="16" s="1" a="1"/>
  <c r="H18" i="16" s="1"/>
  <c r="H19" i="16" s="1" a="1"/>
  <c r="H19" i="16" s="1"/>
  <c r="H20" i="16" s="1" a="1"/>
  <c r="H20" i="16" s="1"/>
  <c r="H21" i="16" s="1" a="1"/>
  <c r="H21" i="16" s="1"/>
  <c r="H22" i="16" s="1" a="1"/>
  <c r="H22" i="16" s="1"/>
  <c r="H23" i="16" s="1" a="1"/>
  <c r="H23" i="16" s="1"/>
  <c r="H24" i="16" s="1" a="1"/>
  <c r="H24" i="16" s="1"/>
  <c r="H25" i="16" s="1" a="1"/>
  <c r="H25" i="16" s="1"/>
  <c r="H26" i="16" s="1" a="1"/>
  <c r="H26" i="16" s="1"/>
  <c r="H27" i="16" s="1" a="1"/>
  <c r="H27" i="16" s="1"/>
  <c r="H28" i="16" s="1" a="1"/>
  <c r="H28" i="16" s="1"/>
  <c r="H29" i="16" s="1" a="1"/>
  <c r="H29" i="16" s="1"/>
  <c r="H30" i="16" s="1" a="1"/>
  <c r="H30" i="16" s="1"/>
  <c r="H31" i="16" s="1" a="1"/>
  <c r="H31" i="16" s="1"/>
  <c r="H32" i="16" s="1" a="1"/>
  <c r="H32" i="16" s="1"/>
  <c r="H33" i="16" s="1" a="1"/>
  <c r="H33" i="16" s="1"/>
  <c r="H34" i="16" s="1" a="1"/>
  <c r="H34" i="16" s="1"/>
  <c r="H6" i="13" a="1"/>
  <c r="H6" i="13" s="1"/>
  <c r="H7" i="13" s="1" a="1"/>
  <c r="H7" i="13" s="1"/>
  <c r="H8" i="13" s="1" a="1"/>
  <c r="H8" i="13" s="1"/>
  <c r="H9" i="13" s="1" a="1"/>
  <c r="H9" i="13" s="1"/>
  <c r="H10" i="13" s="1" a="1"/>
  <c r="H10" i="13" s="1"/>
  <c r="H11" i="13" s="1" a="1"/>
  <c r="H11" i="13" s="1"/>
  <c r="H12" i="13" s="1" a="1"/>
  <c r="H12" i="13" s="1"/>
  <c r="H13" i="13" s="1" a="1"/>
  <c r="H13" i="13" s="1"/>
  <c r="H14" i="13" s="1" a="1"/>
  <c r="H14" i="13" s="1"/>
  <c r="H15" i="13" s="1" a="1"/>
  <c r="H15" i="13" s="1"/>
  <c r="H16" i="13" s="1" a="1"/>
  <c r="H16" i="13" s="1"/>
  <c r="H17" i="13" s="1" a="1"/>
  <c r="H17" i="13" s="1"/>
  <c r="H18" i="13" s="1" a="1"/>
  <c r="H18" i="13" s="1"/>
  <c r="H19" i="13" s="1" a="1"/>
  <c r="H19" i="13" s="1"/>
  <c r="H20" i="13" s="1" a="1"/>
  <c r="H20" i="13" s="1"/>
  <c r="H21" i="13" s="1" a="1"/>
  <c r="H21" i="13" s="1"/>
  <c r="H22" i="13" s="1" a="1"/>
  <c r="H22" i="13" s="1"/>
  <c r="H23" i="13" s="1" a="1"/>
  <c r="H23" i="13" s="1"/>
  <c r="H24" i="13" s="1" a="1"/>
  <c r="H24" i="13" s="1"/>
  <c r="H25" i="13" s="1" a="1"/>
  <c r="H25" i="13" s="1"/>
  <c r="H26" i="13" s="1" a="1"/>
  <c r="H26" i="13" s="1"/>
  <c r="H27" i="13" s="1" a="1"/>
  <c r="H27" i="13" s="1"/>
  <c r="H28" i="13" s="1" a="1"/>
  <c r="H28" i="13" s="1"/>
  <c r="H29" i="13" s="1" a="1"/>
  <c r="H29" i="13" s="1"/>
  <c r="H30" i="13" s="1" a="1"/>
  <c r="H30" i="13" s="1"/>
  <c r="H31" i="13" s="1" a="1"/>
  <c r="H31" i="13" s="1"/>
  <c r="H32" i="13" s="1" a="1"/>
  <c r="H32" i="13" s="1"/>
  <c r="H33" i="13" s="1" a="1"/>
  <c r="H33" i="13" s="1"/>
  <c r="H34" i="13" s="1" a="1"/>
  <c r="H34" i="13" s="1"/>
  <c r="AV26" i="12"/>
  <c r="AV5" i="12"/>
  <c r="AV19" i="12"/>
  <c r="AV12" i="12"/>
  <c r="P4" i="8"/>
  <c r="P4" i="9"/>
  <c r="F4" i="9"/>
  <c r="S4" i="9"/>
  <c r="C4" i="9"/>
  <c r="L4" i="9"/>
  <c r="B4" i="9"/>
  <c r="U3" i="9"/>
  <c r="S4" i="8"/>
  <c r="C3" i="8"/>
  <c r="E3" i="8" s="1"/>
  <c r="X3" i="8" s="1"/>
  <c r="O4" i="6"/>
  <c r="Q4" i="6" s="1"/>
  <c r="R9" i="21" l="1"/>
  <c r="B8" i="22"/>
  <c r="V8" i="22"/>
  <c r="B8" i="21"/>
  <c r="U9" i="21" s="1"/>
  <c r="L9" i="22"/>
  <c r="R10" i="22" s="1"/>
  <c r="V8" i="21"/>
  <c r="V9" i="20"/>
  <c r="B9" i="20"/>
  <c r="U10" i="20" s="1"/>
  <c r="V9" i="18"/>
  <c r="R10" i="20"/>
  <c r="B9" i="18"/>
  <c r="U10" i="18" s="1"/>
  <c r="U9" i="22"/>
  <c r="R10" i="18"/>
  <c r="L10" i="18"/>
  <c r="L9" i="21"/>
  <c r="R10" i="21" s="1"/>
  <c r="F9" i="22"/>
  <c r="I9" i="22"/>
  <c r="O9" i="22"/>
  <c r="Q8" i="22"/>
  <c r="P8" i="22"/>
  <c r="T8" i="22"/>
  <c r="S8" i="22"/>
  <c r="N8" i="22"/>
  <c r="M8" i="22"/>
  <c r="E8" i="22"/>
  <c r="D8" i="22"/>
  <c r="H8" i="22"/>
  <c r="G8" i="22"/>
  <c r="Y7" i="22"/>
  <c r="X7" i="22"/>
  <c r="K8" i="22"/>
  <c r="J8" i="22"/>
  <c r="L10" i="20"/>
  <c r="R11" i="20" s="1"/>
  <c r="O9" i="21"/>
  <c r="F9" i="21"/>
  <c r="I9" i="21"/>
  <c r="Y7" i="21"/>
  <c r="X7" i="21"/>
  <c r="H8" i="21"/>
  <c r="G8" i="21"/>
  <c r="K8" i="21"/>
  <c r="J8" i="21"/>
  <c r="M8" i="21"/>
  <c r="N8" i="21"/>
  <c r="E8" i="21"/>
  <c r="D8" i="21"/>
  <c r="Q8" i="21"/>
  <c r="P8" i="21"/>
  <c r="T8" i="21"/>
  <c r="S8" i="21"/>
  <c r="O10" i="20"/>
  <c r="I10" i="20"/>
  <c r="F10" i="20"/>
  <c r="H9" i="20"/>
  <c r="G9" i="20"/>
  <c r="X8" i="20"/>
  <c r="Y8" i="20"/>
  <c r="M9" i="20"/>
  <c r="N9" i="20"/>
  <c r="K9" i="20"/>
  <c r="J9" i="20"/>
  <c r="O5" i="9"/>
  <c r="P5" i="9" s="1"/>
  <c r="Q9" i="20"/>
  <c r="P9" i="20"/>
  <c r="T9" i="20"/>
  <c r="S9" i="20"/>
  <c r="D9" i="20"/>
  <c r="E9" i="20"/>
  <c r="O10" i="18"/>
  <c r="I10" i="18"/>
  <c r="F10" i="18"/>
  <c r="Q9" i="18"/>
  <c r="P9" i="18"/>
  <c r="S9" i="18"/>
  <c r="T9" i="18"/>
  <c r="G9" i="18"/>
  <c r="H9" i="18"/>
  <c r="X8" i="18"/>
  <c r="K9" i="18"/>
  <c r="J9" i="18"/>
  <c r="E9" i="18"/>
  <c r="D9" i="18"/>
  <c r="Y8" i="18"/>
  <c r="M9" i="18"/>
  <c r="N9" i="18"/>
  <c r="Q4" i="17" a="1"/>
  <c r="Q4" i="17" s="1"/>
  <c r="AB3" i="17" s="1" a="1"/>
  <c r="AB3" i="17" s="1"/>
  <c r="O4" i="17" a="1"/>
  <c r="O4" i="17" s="1"/>
  <c r="AB2" i="17" s="1" a="1"/>
  <c r="AB2" i="17" s="1"/>
  <c r="Q4" i="16" a="1"/>
  <c r="Q4" i="16" s="1"/>
  <c r="AB3" i="16" s="1" a="1"/>
  <c r="AB3" i="16" s="1"/>
  <c r="O4" i="16" a="1"/>
  <c r="O4" i="16" s="1"/>
  <c r="AB2" i="16" s="1" a="1"/>
  <c r="AB2" i="16" s="1"/>
  <c r="O4" i="13" a="1"/>
  <c r="O4" i="13" s="1"/>
  <c r="AB2" i="13" s="1" a="1"/>
  <c r="AB2" i="13" s="1"/>
  <c r="Q4" i="13" a="1"/>
  <c r="Q4" i="13" s="1"/>
  <c r="AB3" i="13" s="1" a="1"/>
  <c r="AB3" i="13" s="1"/>
  <c r="BC19" i="12" a="1"/>
  <c r="BC5" i="12" a="1"/>
  <c r="BC12" i="12" a="1"/>
  <c r="BC26" i="12" a="1"/>
  <c r="I5" i="9"/>
  <c r="L5" i="9"/>
  <c r="F5" i="9"/>
  <c r="H4" i="9"/>
  <c r="G4" i="9"/>
  <c r="J4" i="9"/>
  <c r="K4" i="9"/>
  <c r="U4" i="9"/>
  <c r="M4" i="9"/>
  <c r="N4" i="9"/>
  <c r="R5" i="9"/>
  <c r="F4" i="8" a="1"/>
  <c r="F4" i="8" s="1"/>
  <c r="I4" i="8" a="1"/>
  <c r="I4" i="8" s="1"/>
  <c r="C5" i="9"/>
  <c r="B5" i="9"/>
  <c r="D4" i="9"/>
  <c r="E4" i="9"/>
  <c r="U3" i="8"/>
  <c r="P4" i="6"/>
  <c r="C4" i="8"/>
  <c r="B4" i="8"/>
  <c r="L4" i="8"/>
  <c r="R5" i="8" s="1"/>
  <c r="B9" i="22" l="1"/>
  <c r="V9" i="22"/>
  <c r="V9" i="21"/>
  <c r="B9" i="21"/>
  <c r="U10" i="21" s="1"/>
  <c r="V10" i="20"/>
  <c r="B10" i="18"/>
  <c r="U11" i="18" s="1"/>
  <c r="B10" i="20"/>
  <c r="U11" i="20" s="1"/>
  <c r="V10" i="18"/>
  <c r="U10" i="22"/>
  <c r="L10" i="21"/>
  <c r="R11" i="21" s="1"/>
  <c r="R11" i="18"/>
  <c r="L11" i="18"/>
  <c r="L10" i="22"/>
  <c r="R11" i="22" s="1"/>
  <c r="F10" i="22"/>
  <c r="I10" i="22"/>
  <c r="O10" i="22"/>
  <c r="Y8" i="22"/>
  <c r="K9" i="22"/>
  <c r="J9" i="22"/>
  <c r="H9" i="22"/>
  <c r="G9" i="22"/>
  <c r="M9" i="22"/>
  <c r="N9" i="22"/>
  <c r="Q9" i="22"/>
  <c r="P9" i="22"/>
  <c r="T9" i="22"/>
  <c r="S9" i="22"/>
  <c r="E9" i="22"/>
  <c r="D9" i="22"/>
  <c r="X8" i="22"/>
  <c r="L11" i="20"/>
  <c r="R12" i="20" s="1"/>
  <c r="O10" i="21"/>
  <c r="I10" i="21"/>
  <c r="F10" i="21"/>
  <c r="M9" i="21"/>
  <c r="N9" i="21"/>
  <c r="E9" i="21"/>
  <c r="D9" i="21"/>
  <c r="T9" i="21"/>
  <c r="S9" i="21"/>
  <c r="X8" i="21"/>
  <c r="P9" i="21"/>
  <c r="Q9" i="21"/>
  <c r="Y8" i="21"/>
  <c r="O11" i="20"/>
  <c r="H9" i="21"/>
  <c r="G9" i="21"/>
  <c r="K9" i="21"/>
  <c r="J9" i="21"/>
  <c r="I11" i="20"/>
  <c r="F11" i="20"/>
  <c r="Y9" i="20"/>
  <c r="X9" i="20"/>
  <c r="K10" i="20"/>
  <c r="J10" i="20"/>
  <c r="G10" i="20"/>
  <c r="H10" i="20"/>
  <c r="N10" i="20"/>
  <c r="M10" i="20"/>
  <c r="S10" i="20"/>
  <c r="T10" i="20"/>
  <c r="E10" i="20"/>
  <c r="D10" i="20"/>
  <c r="Q10" i="20"/>
  <c r="P10" i="20"/>
  <c r="O11" i="18"/>
  <c r="I11" i="18"/>
  <c r="F11" i="18"/>
  <c r="D10" i="18"/>
  <c r="E10" i="18"/>
  <c r="T10" i="18"/>
  <c r="S10" i="18"/>
  <c r="X9" i="18"/>
  <c r="Q10" i="18"/>
  <c r="P10" i="18"/>
  <c r="Y9" i="18"/>
  <c r="G10" i="18"/>
  <c r="H10" i="18"/>
  <c r="K10" i="18"/>
  <c r="J10" i="18"/>
  <c r="N10" i="18"/>
  <c r="M10" i="18"/>
  <c r="I6" i="9"/>
  <c r="O6" i="9"/>
  <c r="P6" i="9" s="1"/>
  <c r="O4" i="15" a="1"/>
  <c r="O4" i="15" s="1"/>
  <c r="AB2" i="15" s="1" a="1"/>
  <c r="AB2" i="15" s="1"/>
  <c r="Q4" i="15" a="1"/>
  <c r="Q4" i="15" s="1"/>
  <c r="AB3" i="15" s="1" a="1"/>
  <c r="AB3" i="15" s="1"/>
  <c r="Y12" i="12"/>
  <c r="W17" i="12"/>
  <c r="Y13" i="12"/>
  <c r="W12" i="12"/>
  <c r="V15" i="12"/>
  <c r="W14" i="12"/>
  <c r="U15" i="12"/>
  <c r="U12" i="12"/>
  <c r="T16" i="12"/>
  <c r="X15" i="12"/>
  <c r="T13" i="12"/>
  <c r="U17" i="12"/>
  <c r="V13" i="12"/>
  <c r="W16" i="12"/>
  <c r="V16" i="12"/>
  <c r="U16" i="12"/>
  <c r="Y14" i="12"/>
  <c r="Y16" i="12"/>
  <c r="Y15" i="12"/>
  <c r="V14" i="12"/>
  <c r="V17" i="12"/>
  <c r="U14" i="12"/>
  <c r="T17" i="12"/>
  <c r="T14" i="12"/>
  <c r="X17" i="12"/>
  <c r="U13" i="12"/>
  <c r="Y17" i="12"/>
  <c r="T15" i="12"/>
  <c r="V12" i="12"/>
  <c r="X14" i="12"/>
  <c r="X12" i="12"/>
  <c r="W15" i="12"/>
  <c r="W13" i="12"/>
  <c r="X13" i="12"/>
  <c r="X16" i="12"/>
  <c r="Y5" i="12"/>
  <c r="V8" i="12"/>
  <c r="W8" i="12"/>
  <c r="X8" i="12"/>
  <c r="T9" i="12"/>
  <c r="U5" i="12"/>
  <c r="W9" i="12"/>
  <c r="V10" i="12"/>
  <c r="X6" i="12"/>
  <c r="T10" i="12"/>
  <c r="W10" i="12"/>
  <c r="Y10" i="12"/>
  <c r="V5" i="12"/>
  <c r="V6" i="12"/>
  <c r="T7" i="12"/>
  <c r="W6" i="12"/>
  <c r="U9" i="12"/>
  <c r="W7" i="12"/>
  <c r="X7" i="12"/>
  <c r="V7" i="12"/>
  <c r="U8" i="12"/>
  <c r="X10" i="12"/>
  <c r="Y9" i="12"/>
  <c r="Y8" i="12"/>
  <c r="X9" i="12"/>
  <c r="V9" i="12"/>
  <c r="T6" i="12"/>
  <c r="X5" i="12"/>
  <c r="U7" i="12"/>
  <c r="Y6" i="12"/>
  <c r="U6" i="12"/>
  <c r="Y7" i="12"/>
  <c r="W5" i="12"/>
  <c r="U10" i="12"/>
  <c r="T8" i="12"/>
  <c r="V30" i="12"/>
  <c r="V26" i="12"/>
  <c r="U29" i="12"/>
  <c r="X26" i="12"/>
  <c r="T29" i="12"/>
  <c r="Y29" i="12"/>
  <c r="X31" i="12"/>
  <c r="T30" i="12"/>
  <c r="X28" i="12"/>
  <c r="U30" i="12"/>
  <c r="T31" i="12"/>
  <c r="X27" i="12"/>
  <c r="T27" i="12"/>
  <c r="W31" i="12"/>
  <c r="V31" i="12"/>
  <c r="Y31" i="12"/>
  <c r="Y28" i="12"/>
  <c r="T28" i="12"/>
  <c r="Y27" i="12"/>
  <c r="U31" i="12"/>
  <c r="V29" i="12"/>
  <c r="Y26" i="12"/>
  <c r="V27" i="12"/>
  <c r="X29" i="12"/>
  <c r="X30" i="12"/>
  <c r="W26" i="12"/>
  <c r="U28" i="12"/>
  <c r="U26" i="12"/>
  <c r="W28" i="12"/>
  <c r="W30" i="12"/>
  <c r="V28" i="12"/>
  <c r="W27" i="12"/>
  <c r="Y30" i="12"/>
  <c r="W29" i="12"/>
  <c r="U27" i="12"/>
  <c r="T24" i="12"/>
  <c r="Y19" i="12"/>
  <c r="V20" i="12"/>
  <c r="T22" i="12"/>
  <c r="Y23" i="12"/>
  <c r="X20" i="12"/>
  <c r="T20" i="12"/>
  <c r="W19" i="12"/>
  <c r="X21" i="12"/>
  <c r="Y20" i="12"/>
  <c r="W20" i="12"/>
  <c r="V19" i="12"/>
  <c r="T23" i="12"/>
  <c r="Y21" i="12"/>
  <c r="Y24" i="12"/>
  <c r="V23" i="12"/>
  <c r="X24" i="12"/>
  <c r="U24" i="12"/>
  <c r="X22" i="12"/>
  <c r="V24" i="12"/>
  <c r="W24" i="12"/>
  <c r="T21" i="12"/>
  <c r="U23" i="12"/>
  <c r="X19" i="12"/>
  <c r="U21" i="12"/>
  <c r="V22" i="12"/>
  <c r="U22" i="12"/>
  <c r="U19" i="12"/>
  <c r="V21" i="12"/>
  <c r="X23" i="12"/>
  <c r="Y22" i="12"/>
  <c r="W23" i="12"/>
  <c r="W22" i="12"/>
  <c r="U20" i="12"/>
  <c r="W21" i="12"/>
  <c r="BC26" i="12"/>
  <c r="T26" i="12" s="1"/>
  <c r="BC5" i="12"/>
  <c r="T5" i="12" s="1"/>
  <c r="BC12" i="12"/>
  <c r="T12" i="12" s="1"/>
  <c r="BC19" i="12"/>
  <c r="T19" i="12" s="1"/>
  <c r="X4" i="9"/>
  <c r="F6" i="9"/>
  <c r="L6" i="9"/>
  <c r="O5" i="8"/>
  <c r="P5" i="8" s="1"/>
  <c r="T5" i="9"/>
  <c r="U5" i="9"/>
  <c r="S5" i="9"/>
  <c r="H5" i="9"/>
  <c r="G5" i="9"/>
  <c r="Q5" i="9"/>
  <c r="L5" i="8"/>
  <c r="F5" i="8" a="1"/>
  <c r="F5" i="8" s="1"/>
  <c r="I5" i="8" a="1"/>
  <c r="I5" i="8" s="1"/>
  <c r="C6" i="9"/>
  <c r="B6" i="9"/>
  <c r="E5" i="9"/>
  <c r="D5" i="9"/>
  <c r="K5" i="9"/>
  <c r="J5" i="9"/>
  <c r="W4" i="9"/>
  <c r="M5" i="9"/>
  <c r="N5" i="9"/>
  <c r="R6" i="9"/>
  <c r="K4" i="8"/>
  <c r="J4" i="8"/>
  <c r="N4" i="8"/>
  <c r="M4" i="8"/>
  <c r="H4" i="8"/>
  <c r="G4" i="8"/>
  <c r="C5" i="8"/>
  <c r="B5" i="8"/>
  <c r="E4" i="8"/>
  <c r="D4" i="8"/>
  <c r="U4" i="8"/>
  <c r="V10" i="22" l="1"/>
  <c r="B10" i="22"/>
  <c r="V10" i="21"/>
  <c r="B10" i="21"/>
  <c r="U11" i="21" s="1"/>
  <c r="L11" i="21"/>
  <c r="R12" i="21" s="1"/>
  <c r="B11" i="20"/>
  <c r="U12" i="20" s="1"/>
  <c r="V11" i="20"/>
  <c r="V11" i="18"/>
  <c r="B11" i="18"/>
  <c r="U12" i="18" s="1"/>
  <c r="U11" i="22"/>
  <c r="V11" i="22" s="1"/>
  <c r="L12" i="18"/>
  <c r="R12" i="18"/>
  <c r="I11" i="22"/>
  <c r="L11" i="22"/>
  <c r="R12" i="22" s="1"/>
  <c r="F11" i="22"/>
  <c r="O11" i="22"/>
  <c r="L12" i="20"/>
  <c r="R13" i="20" s="1"/>
  <c r="X9" i="22"/>
  <c r="H10" i="22"/>
  <c r="G10" i="22"/>
  <c r="T10" i="22"/>
  <c r="S10" i="22"/>
  <c r="Y9" i="22"/>
  <c r="N10" i="22"/>
  <c r="M10" i="22"/>
  <c r="K10" i="22"/>
  <c r="J10" i="22"/>
  <c r="Q10" i="22"/>
  <c r="P10" i="22"/>
  <c r="E10" i="22"/>
  <c r="D10" i="22"/>
  <c r="F11" i="21"/>
  <c r="O11" i="21"/>
  <c r="I11" i="21"/>
  <c r="L12" i="21" s="1"/>
  <c r="X9" i="21"/>
  <c r="Q10" i="21"/>
  <c r="P10" i="21"/>
  <c r="Y9" i="21"/>
  <c r="H10" i="21"/>
  <c r="G10" i="21"/>
  <c r="K10" i="21"/>
  <c r="J10" i="21"/>
  <c r="M10" i="21"/>
  <c r="N10" i="21"/>
  <c r="E10" i="21"/>
  <c r="D10" i="21"/>
  <c r="O12" i="20"/>
  <c r="T10" i="21"/>
  <c r="S10" i="21"/>
  <c r="I12" i="20"/>
  <c r="F12" i="20"/>
  <c r="T11" i="20"/>
  <c r="S11" i="20"/>
  <c r="X10" i="20"/>
  <c r="H11" i="20"/>
  <c r="G11" i="20"/>
  <c r="Y10" i="20"/>
  <c r="K11" i="20"/>
  <c r="J11" i="20"/>
  <c r="Q11" i="20"/>
  <c r="P11" i="20"/>
  <c r="N11" i="20"/>
  <c r="M11" i="20"/>
  <c r="E11" i="20"/>
  <c r="D11" i="20"/>
  <c r="O12" i="18"/>
  <c r="F12" i="18"/>
  <c r="I12" i="18"/>
  <c r="L13" i="18" s="1"/>
  <c r="O7" i="9"/>
  <c r="P7" i="9" s="1"/>
  <c r="T11" i="18"/>
  <c r="S11" i="18"/>
  <c r="Y10" i="18"/>
  <c r="G11" i="18"/>
  <c r="H11" i="18"/>
  <c r="K11" i="18"/>
  <c r="J11" i="18"/>
  <c r="X10" i="18"/>
  <c r="Q11" i="18"/>
  <c r="P11" i="18"/>
  <c r="N11" i="18"/>
  <c r="M11" i="18"/>
  <c r="E11" i="18"/>
  <c r="D11" i="18"/>
  <c r="L7" i="9"/>
  <c r="F7" i="9"/>
  <c r="I6" i="8" a="1"/>
  <c r="I6" i="8" s="1"/>
  <c r="I7" i="9"/>
  <c r="K6" i="9"/>
  <c r="J6" i="9"/>
  <c r="L6" i="8"/>
  <c r="R6" i="8"/>
  <c r="X5" i="9"/>
  <c r="H6" i="9"/>
  <c r="G6" i="9"/>
  <c r="M6" i="9"/>
  <c r="R7" i="9"/>
  <c r="N6" i="9"/>
  <c r="S6" i="9"/>
  <c r="T6" i="9"/>
  <c r="U6" i="9"/>
  <c r="C7" i="9"/>
  <c r="B7" i="9"/>
  <c r="D6" i="9"/>
  <c r="E6" i="9"/>
  <c r="F6" i="8" a="1"/>
  <c r="F6" i="8" s="1"/>
  <c r="W5" i="9"/>
  <c r="Q6" i="9"/>
  <c r="O6" i="8"/>
  <c r="P6" i="8" s="1"/>
  <c r="Q5" i="8"/>
  <c r="N5" i="8"/>
  <c r="M5" i="8"/>
  <c r="E5" i="8"/>
  <c r="D5" i="8"/>
  <c r="C6" i="8"/>
  <c r="B6" i="8"/>
  <c r="T5" i="8"/>
  <c r="U5" i="8"/>
  <c r="S5" i="8"/>
  <c r="W4" i="8"/>
  <c r="K5" i="8"/>
  <c r="J5" i="8"/>
  <c r="H5" i="8"/>
  <c r="G5" i="8"/>
  <c r="X4" i="8"/>
  <c r="B11" i="22" l="1"/>
  <c r="V11" i="21"/>
  <c r="B11" i="21"/>
  <c r="U12" i="21" s="1"/>
  <c r="B12" i="20"/>
  <c r="U13" i="20" s="1"/>
  <c r="V12" i="20"/>
  <c r="V12" i="18"/>
  <c r="B12" i="18"/>
  <c r="U13" i="18" s="1"/>
  <c r="L12" i="22"/>
  <c r="R13" i="22" s="1"/>
  <c r="U12" i="22"/>
  <c r="V12" i="22" s="1"/>
  <c r="R13" i="18"/>
  <c r="L13" i="20"/>
  <c r="R14" i="20" s="1"/>
  <c r="R13" i="21"/>
  <c r="F12" i="22"/>
  <c r="O12" i="22"/>
  <c r="I12" i="22"/>
  <c r="X10" i="22"/>
  <c r="Y10" i="22"/>
  <c r="T11" i="22"/>
  <c r="S11" i="22"/>
  <c r="H11" i="22"/>
  <c r="G11" i="22"/>
  <c r="K11" i="22"/>
  <c r="J11" i="22"/>
  <c r="N11" i="22"/>
  <c r="M11" i="22"/>
  <c r="E11" i="22"/>
  <c r="D11" i="22"/>
  <c r="Q11" i="22"/>
  <c r="P11" i="22"/>
  <c r="F12" i="21"/>
  <c r="O12" i="21"/>
  <c r="I12" i="21"/>
  <c r="L13" i="21" s="1"/>
  <c r="T11" i="21"/>
  <c r="S11" i="21"/>
  <c r="X10" i="21"/>
  <c r="Q11" i="21"/>
  <c r="P11" i="21"/>
  <c r="Y10" i="21"/>
  <c r="H11" i="21"/>
  <c r="G11" i="21"/>
  <c r="K11" i="21"/>
  <c r="J11" i="21"/>
  <c r="O13" i="20"/>
  <c r="M11" i="21"/>
  <c r="N11" i="21"/>
  <c r="E11" i="21"/>
  <c r="D11" i="21"/>
  <c r="I13" i="20"/>
  <c r="F13" i="20"/>
  <c r="E12" i="20"/>
  <c r="D12" i="20"/>
  <c r="N12" i="20"/>
  <c r="M12" i="20"/>
  <c r="X11" i="20"/>
  <c r="G12" i="20"/>
  <c r="H12" i="20"/>
  <c r="Q12" i="20"/>
  <c r="P12" i="20"/>
  <c r="Y11" i="20"/>
  <c r="K12" i="20"/>
  <c r="J12" i="20"/>
  <c r="S12" i="20"/>
  <c r="T12" i="20"/>
  <c r="O13" i="18"/>
  <c r="I13" i="18"/>
  <c r="L14" i="18" s="1"/>
  <c r="F13" i="18"/>
  <c r="M12" i="18"/>
  <c r="N12" i="18"/>
  <c r="X11" i="18"/>
  <c r="K12" i="18"/>
  <c r="J12" i="18"/>
  <c r="G12" i="18"/>
  <c r="H12" i="18"/>
  <c r="P12" i="18"/>
  <c r="Q12" i="18"/>
  <c r="Y11" i="18"/>
  <c r="D12" i="18"/>
  <c r="E12" i="18"/>
  <c r="S12" i="18"/>
  <c r="T12" i="18"/>
  <c r="O8" i="9"/>
  <c r="P8" i="9" s="1"/>
  <c r="I7" i="8" a="1"/>
  <c r="I7" i="8" s="1"/>
  <c r="R7" i="8"/>
  <c r="O7" i="8"/>
  <c r="P7" i="8" s="1"/>
  <c r="F8" i="9"/>
  <c r="I8" i="9"/>
  <c r="L8" i="9"/>
  <c r="W6" i="9"/>
  <c r="L7" i="8"/>
  <c r="T7" i="9"/>
  <c r="S7" i="9"/>
  <c r="U7" i="9"/>
  <c r="X6" i="9"/>
  <c r="H7" i="9"/>
  <c r="G7" i="9"/>
  <c r="Q7" i="9"/>
  <c r="K7" i="9"/>
  <c r="J7" i="9"/>
  <c r="M7" i="9"/>
  <c r="R8" i="9"/>
  <c r="N7" i="9"/>
  <c r="C8" i="9"/>
  <c r="B8" i="9"/>
  <c r="E7" i="9"/>
  <c r="D7" i="9"/>
  <c r="F7" i="8" a="1"/>
  <c r="F7" i="8" s="1"/>
  <c r="J6" i="8"/>
  <c r="K6" i="8"/>
  <c r="D6" i="8"/>
  <c r="E6" i="8"/>
  <c r="C7" i="8"/>
  <c r="B7" i="8"/>
  <c r="W5" i="8"/>
  <c r="G6" i="8"/>
  <c r="H6" i="8"/>
  <c r="X5" i="8"/>
  <c r="N6" i="8"/>
  <c r="M6" i="8"/>
  <c r="Q6" i="8"/>
  <c r="S6" i="8"/>
  <c r="T6" i="8"/>
  <c r="U6" i="8"/>
  <c r="B12" i="22" l="1"/>
  <c r="V12" i="21"/>
  <c r="B12" i="21"/>
  <c r="U13" i="21" s="1"/>
  <c r="V13" i="20"/>
  <c r="L13" i="22"/>
  <c r="R14" i="22" s="1"/>
  <c r="B13" i="20"/>
  <c r="U14" i="20" s="1"/>
  <c r="R14" i="18"/>
  <c r="R15" i="18" s="1"/>
  <c r="V13" i="18"/>
  <c r="B13" i="18"/>
  <c r="U14" i="18" s="1"/>
  <c r="U13" i="22"/>
  <c r="V13" i="22" s="1"/>
  <c r="L14" i="20"/>
  <c r="R15" i="20" s="1"/>
  <c r="R14" i="21"/>
  <c r="I13" i="22"/>
  <c r="F13" i="22"/>
  <c r="O13" i="22"/>
  <c r="Y11" i="22"/>
  <c r="S12" i="22"/>
  <c r="T12" i="22"/>
  <c r="K12" i="22"/>
  <c r="J12" i="22"/>
  <c r="N12" i="22"/>
  <c r="M12" i="22"/>
  <c r="Q12" i="22"/>
  <c r="P12" i="22"/>
  <c r="E12" i="22"/>
  <c r="D12" i="22"/>
  <c r="X11" i="22"/>
  <c r="G12" i="22"/>
  <c r="H12" i="22"/>
  <c r="O13" i="21"/>
  <c r="I13" i="21"/>
  <c r="L14" i="21" s="1"/>
  <c r="F13" i="21"/>
  <c r="X11" i="21"/>
  <c r="Y11" i="21"/>
  <c r="Q12" i="21"/>
  <c r="P12" i="21"/>
  <c r="H12" i="21"/>
  <c r="G12" i="21"/>
  <c r="K12" i="21"/>
  <c r="J12" i="21"/>
  <c r="M12" i="21"/>
  <c r="N12" i="21"/>
  <c r="E12" i="21"/>
  <c r="D12" i="21"/>
  <c r="T12" i="21"/>
  <c r="S12" i="21"/>
  <c r="O14" i="20"/>
  <c r="I14" i="20"/>
  <c r="F14" i="20"/>
  <c r="T13" i="20"/>
  <c r="S13" i="20"/>
  <c r="N13" i="20"/>
  <c r="M13" i="20"/>
  <c r="E13" i="20"/>
  <c r="D13" i="20"/>
  <c r="X12" i="20"/>
  <c r="H13" i="20"/>
  <c r="G13" i="20"/>
  <c r="Y12" i="20"/>
  <c r="O14" i="18"/>
  <c r="Q13" i="20"/>
  <c r="P13" i="20"/>
  <c r="K13" i="20"/>
  <c r="J13" i="20"/>
  <c r="I14" i="18"/>
  <c r="L15" i="18" s="1"/>
  <c r="F14" i="18"/>
  <c r="P13" i="18"/>
  <c r="Q13" i="18"/>
  <c r="N13" i="18"/>
  <c r="M13" i="18"/>
  <c r="E13" i="18"/>
  <c r="D13" i="18"/>
  <c r="H13" i="18"/>
  <c r="G13" i="18"/>
  <c r="Y12" i="18"/>
  <c r="X12" i="18"/>
  <c r="K13" i="18"/>
  <c r="J13" i="18"/>
  <c r="T13" i="18"/>
  <c r="S13" i="18"/>
  <c r="O8" i="8"/>
  <c r="P8" i="8" s="1"/>
  <c r="R8" i="8"/>
  <c r="F9" i="9"/>
  <c r="L8" i="8"/>
  <c r="L9" i="9"/>
  <c r="O9" i="9"/>
  <c r="P9" i="9" s="1"/>
  <c r="I9" i="9"/>
  <c r="X7" i="9"/>
  <c r="K8" i="9"/>
  <c r="J8" i="9"/>
  <c r="C9" i="9"/>
  <c r="B9" i="9"/>
  <c r="E8" i="9"/>
  <c r="D8" i="9"/>
  <c r="H8" i="9"/>
  <c r="G8" i="9"/>
  <c r="T8" i="9"/>
  <c r="U8" i="9"/>
  <c r="S8" i="9"/>
  <c r="M8" i="9"/>
  <c r="R9" i="9"/>
  <c r="N8" i="9"/>
  <c r="Q8" i="9"/>
  <c r="W7" i="9"/>
  <c r="I8" i="8" a="1"/>
  <c r="I8" i="8" s="1"/>
  <c r="F8" i="8" a="1"/>
  <c r="F8" i="8" s="1"/>
  <c r="X6" i="8"/>
  <c r="W6" i="8"/>
  <c r="K7" i="8"/>
  <c r="J7" i="8"/>
  <c r="N7" i="8"/>
  <c r="M7" i="8"/>
  <c r="E7" i="8"/>
  <c r="D7" i="8"/>
  <c r="B8" i="8"/>
  <c r="C8" i="8"/>
  <c r="H7" i="8"/>
  <c r="G7" i="8"/>
  <c r="U7" i="8"/>
  <c r="T7" i="8"/>
  <c r="S7" i="8"/>
  <c r="Q7" i="8"/>
  <c r="B13" i="22" l="1"/>
  <c r="V13" i="21"/>
  <c r="B13" i="21"/>
  <c r="U14" i="21" s="1"/>
  <c r="R15" i="21"/>
  <c r="R16" i="18"/>
  <c r="V14" i="20"/>
  <c r="L14" i="22"/>
  <c r="R15" i="22" s="1"/>
  <c r="B14" i="18"/>
  <c r="U15" i="18" s="1"/>
  <c r="B14" i="20"/>
  <c r="U15" i="20" s="1"/>
  <c r="V14" i="18"/>
  <c r="U14" i="22"/>
  <c r="L15" i="20"/>
  <c r="R16" i="20" s="1"/>
  <c r="I14" i="22"/>
  <c r="F14" i="22"/>
  <c r="O14" i="22"/>
  <c r="Y12" i="22"/>
  <c r="K13" i="22"/>
  <c r="J13" i="22"/>
  <c r="Q13" i="22"/>
  <c r="P13" i="22"/>
  <c r="T13" i="22"/>
  <c r="S13" i="22"/>
  <c r="N13" i="22"/>
  <c r="M13" i="22"/>
  <c r="E13" i="22"/>
  <c r="D13" i="22"/>
  <c r="X12" i="22"/>
  <c r="H13" i="22"/>
  <c r="G13" i="22"/>
  <c r="F14" i="21"/>
  <c r="O14" i="21"/>
  <c r="I14" i="21"/>
  <c r="L15" i="21" s="1"/>
  <c r="R16" i="21" s="1"/>
  <c r="X12" i="21"/>
  <c r="P13" i="21"/>
  <c r="Q13" i="21"/>
  <c r="Y12" i="21"/>
  <c r="H13" i="21"/>
  <c r="G13" i="21"/>
  <c r="K13" i="21"/>
  <c r="J13" i="21"/>
  <c r="T13" i="21"/>
  <c r="S13" i="21"/>
  <c r="O15" i="20"/>
  <c r="M13" i="21"/>
  <c r="N13" i="21"/>
  <c r="E13" i="21"/>
  <c r="D13" i="21"/>
  <c r="I15" i="20"/>
  <c r="F15" i="20"/>
  <c r="Y13" i="20"/>
  <c r="E14" i="20"/>
  <c r="D14" i="20"/>
  <c r="X13" i="20"/>
  <c r="H14" i="20"/>
  <c r="G14" i="20"/>
  <c r="K14" i="20"/>
  <c r="J14" i="20"/>
  <c r="Q14" i="20"/>
  <c r="P14" i="20"/>
  <c r="T14" i="20"/>
  <c r="S14" i="20"/>
  <c r="N14" i="20"/>
  <c r="M14" i="20"/>
  <c r="O15" i="18"/>
  <c r="F15" i="18"/>
  <c r="I15" i="18"/>
  <c r="L16" i="18" s="1"/>
  <c r="R17" i="18" s="1"/>
  <c r="X13" i="18"/>
  <c r="E14" i="18"/>
  <c r="D14" i="18"/>
  <c r="Y13" i="18"/>
  <c r="H14" i="18"/>
  <c r="G14" i="18"/>
  <c r="N14" i="18"/>
  <c r="M14" i="18"/>
  <c r="K14" i="18"/>
  <c r="J14" i="18"/>
  <c r="T14" i="18"/>
  <c r="S14" i="18"/>
  <c r="Q14" i="18"/>
  <c r="P14" i="18"/>
  <c r="L9" i="8"/>
  <c r="R9" i="8"/>
  <c r="F10" i="9"/>
  <c r="O9" i="8"/>
  <c r="P9" i="8" s="1"/>
  <c r="I10" i="9"/>
  <c r="L10" i="9"/>
  <c r="O10" i="9"/>
  <c r="W8" i="9"/>
  <c r="X8" i="9"/>
  <c r="H9" i="9"/>
  <c r="G9" i="9"/>
  <c r="K9" i="9"/>
  <c r="J9" i="9"/>
  <c r="M9" i="9"/>
  <c r="R10" i="9"/>
  <c r="N9" i="9"/>
  <c r="C10" i="9"/>
  <c r="B10" i="9"/>
  <c r="E9" i="9"/>
  <c r="D9" i="9"/>
  <c r="T9" i="9"/>
  <c r="S9" i="9"/>
  <c r="U9" i="9"/>
  <c r="Q9" i="9"/>
  <c r="I9" i="8" a="1"/>
  <c r="I9" i="8" s="1"/>
  <c r="F9" i="8" a="1"/>
  <c r="F9" i="8" s="1"/>
  <c r="T8" i="8"/>
  <c r="U8" i="8"/>
  <c r="S8" i="8"/>
  <c r="X7" i="8"/>
  <c r="Q8" i="8"/>
  <c r="H8" i="8"/>
  <c r="G8" i="8"/>
  <c r="N8" i="8"/>
  <c r="M8" i="8"/>
  <c r="K8" i="8"/>
  <c r="J8" i="8"/>
  <c r="E8" i="8"/>
  <c r="D8" i="8"/>
  <c r="B9" i="8"/>
  <c r="C9" i="8"/>
  <c r="W7" i="8"/>
  <c r="V14" i="22" l="1"/>
  <c r="B14" i="22"/>
  <c r="V14" i="21"/>
  <c r="B14" i="21"/>
  <c r="U15" i="21" s="1"/>
  <c r="L15" i="22"/>
  <c r="V15" i="20"/>
  <c r="L16" i="20"/>
  <c r="B15" i="20"/>
  <c r="U16" i="20" s="1"/>
  <c r="B15" i="18"/>
  <c r="U16" i="18" s="1"/>
  <c r="V15" i="18"/>
  <c r="U15" i="22"/>
  <c r="I15" i="22"/>
  <c r="L16" i="22" s="1"/>
  <c r="F15" i="22"/>
  <c r="O15" i="22"/>
  <c r="Y13" i="22"/>
  <c r="K14" i="22"/>
  <c r="J14" i="22"/>
  <c r="Q14" i="22"/>
  <c r="P14" i="22"/>
  <c r="T14" i="22"/>
  <c r="S14" i="22"/>
  <c r="N14" i="22"/>
  <c r="M14" i="22"/>
  <c r="R16" i="22"/>
  <c r="E14" i="22"/>
  <c r="D14" i="22"/>
  <c r="X13" i="22"/>
  <c r="H14" i="22"/>
  <c r="G14" i="22"/>
  <c r="F15" i="21"/>
  <c r="O15" i="21"/>
  <c r="I15" i="21"/>
  <c r="L16" i="21" s="1"/>
  <c r="R17" i="21" s="1"/>
  <c r="Y13" i="21"/>
  <c r="X13" i="21"/>
  <c r="H14" i="21"/>
  <c r="G14" i="21"/>
  <c r="K14" i="21"/>
  <c r="J14" i="21"/>
  <c r="Q14" i="21"/>
  <c r="P14" i="21"/>
  <c r="M14" i="21"/>
  <c r="N14" i="21"/>
  <c r="E14" i="21"/>
  <c r="D14" i="21"/>
  <c r="T14" i="21"/>
  <c r="S14" i="21"/>
  <c r="R17" i="20"/>
  <c r="O16" i="20"/>
  <c r="I16" i="20"/>
  <c r="F16" i="20"/>
  <c r="T15" i="20"/>
  <c r="S15" i="20"/>
  <c r="E15" i="20"/>
  <c r="D15" i="20"/>
  <c r="X14" i="20"/>
  <c r="H15" i="20"/>
  <c r="G15" i="20"/>
  <c r="Q15" i="20"/>
  <c r="P15" i="20"/>
  <c r="Y14" i="20"/>
  <c r="K15" i="20"/>
  <c r="J15" i="20"/>
  <c r="M15" i="20"/>
  <c r="N15" i="20"/>
  <c r="O16" i="18"/>
  <c r="I16" i="18"/>
  <c r="L17" i="18" s="1"/>
  <c r="R18" i="18" s="1"/>
  <c r="F16" i="18"/>
  <c r="P15" i="18"/>
  <c r="Q15" i="18"/>
  <c r="E15" i="18"/>
  <c r="D15" i="18"/>
  <c r="X14" i="18"/>
  <c r="K15" i="18"/>
  <c r="J15" i="18"/>
  <c r="G15" i="18"/>
  <c r="H15" i="18"/>
  <c r="S15" i="18"/>
  <c r="T15" i="18"/>
  <c r="Y14" i="18"/>
  <c r="M15" i="18"/>
  <c r="N15" i="18"/>
  <c r="L10" i="8"/>
  <c r="R10" i="8"/>
  <c r="I11" i="9"/>
  <c r="O11" i="9"/>
  <c r="P11" i="9" s="1"/>
  <c r="P10" i="9"/>
  <c r="L11" i="9"/>
  <c r="F11" i="9"/>
  <c r="T10" i="9"/>
  <c r="U10" i="9"/>
  <c r="S10" i="9"/>
  <c r="W9" i="9"/>
  <c r="Q10" i="9"/>
  <c r="C11" i="9"/>
  <c r="B11" i="9"/>
  <c r="E10" i="9"/>
  <c r="D10" i="9"/>
  <c r="H10" i="9"/>
  <c r="G10" i="9"/>
  <c r="X9" i="9"/>
  <c r="K10" i="9"/>
  <c r="J10" i="9"/>
  <c r="M10" i="9"/>
  <c r="R11" i="9"/>
  <c r="N10" i="9"/>
  <c r="O10" i="8"/>
  <c r="P10" i="8" s="1"/>
  <c r="I10" i="8" a="1"/>
  <c r="I10" i="8" s="1"/>
  <c r="F10" i="8" a="1"/>
  <c r="F10" i="8" s="1"/>
  <c r="C10" i="8"/>
  <c r="B10" i="8"/>
  <c r="E9" i="8"/>
  <c r="D9" i="8"/>
  <c r="W8" i="8"/>
  <c r="U9" i="8"/>
  <c r="T9" i="8"/>
  <c r="S9" i="8"/>
  <c r="Q9" i="8"/>
  <c r="X8" i="8"/>
  <c r="M9" i="8"/>
  <c r="N9" i="8"/>
  <c r="H9" i="8"/>
  <c r="G9" i="8"/>
  <c r="K9" i="8"/>
  <c r="J9" i="8"/>
  <c r="V15" i="22" l="1"/>
  <c r="B15" i="22"/>
  <c r="L17" i="20"/>
  <c r="V15" i="21"/>
  <c r="B15" i="21"/>
  <c r="U16" i="21" s="1"/>
  <c r="V16" i="20"/>
  <c r="B16" i="20"/>
  <c r="U17" i="20" s="1"/>
  <c r="V16" i="18"/>
  <c r="B16" i="18"/>
  <c r="U17" i="18" s="1"/>
  <c r="U16" i="22"/>
  <c r="F16" i="22"/>
  <c r="O16" i="22"/>
  <c r="I16" i="22"/>
  <c r="L17" i="22" s="1"/>
  <c r="K15" i="22"/>
  <c r="J15" i="22"/>
  <c r="M15" i="22"/>
  <c r="N15" i="22"/>
  <c r="Q15" i="22"/>
  <c r="P15" i="22"/>
  <c r="T15" i="22"/>
  <c r="S15" i="22"/>
  <c r="R17" i="22"/>
  <c r="E15" i="22"/>
  <c r="D15" i="22"/>
  <c r="X14" i="22"/>
  <c r="H15" i="22"/>
  <c r="G15" i="22"/>
  <c r="Y14" i="22"/>
  <c r="O16" i="21"/>
  <c r="I16" i="21"/>
  <c r="L17" i="21" s="1"/>
  <c r="R18" i="21" s="1"/>
  <c r="F16" i="21"/>
  <c r="E15" i="21"/>
  <c r="D15" i="21"/>
  <c r="T15" i="21"/>
  <c r="S15" i="21"/>
  <c r="X14" i="21"/>
  <c r="Y14" i="21"/>
  <c r="H15" i="21"/>
  <c r="G15" i="21"/>
  <c r="Q15" i="21"/>
  <c r="P15" i="21"/>
  <c r="K15" i="21"/>
  <c r="J15" i="21"/>
  <c r="M15" i="21"/>
  <c r="N15" i="21"/>
  <c r="R18" i="20"/>
  <c r="O17" i="20"/>
  <c r="I17" i="20"/>
  <c r="L18" i="20" s="1"/>
  <c r="F17" i="20"/>
  <c r="X15" i="20"/>
  <c r="K16" i="20"/>
  <c r="J16" i="20"/>
  <c r="H16" i="20"/>
  <c r="G16" i="20"/>
  <c r="N16" i="20"/>
  <c r="M16" i="20"/>
  <c r="T16" i="20"/>
  <c r="S16" i="20"/>
  <c r="E16" i="20"/>
  <c r="D16" i="20"/>
  <c r="Q16" i="20"/>
  <c r="P16" i="20"/>
  <c r="Y15" i="20"/>
  <c r="O17" i="18"/>
  <c r="F17" i="18"/>
  <c r="I17" i="18"/>
  <c r="L18" i="18" s="1"/>
  <c r="R19" i="18" s="1"/>
  <c r="X15" i="18"/>
  <c r="Y15" i="18"/>
  <c r="H16" i="18"/>
  <c r="G16" i="18"/>
  <c r="S16" i="18"/>
  <c r="T16" i="18"/>
  <c r="K16" i="18"/>
  <c r="J16" i="18"/>
  <c r="N16" i="18"/>
  <c r="M16" i="18"/>
  <c r="E16" i="18"/>
  <c r="D16" i="18"/>
  <c r="P16" i="18"/>
  <c r="Q16" i="18"/>
  <c r="R11" i="8"/>
  <c r="O12" i="9"/>
  <c r="P12" i="9" s="1"/>
  <c r="L12" i="9"/>
  <c r="I12" i="9"/>
  <c r="F12" i="9"/>
  <c r="K11" i="9"/>
  <c r="J11" i="9"/>
  <c r="C12" i="9"/>
  <c r="B12" i="9"/>
  <c r="E11" i="9"/>
  <c r="D11" i="9"/>
  <c r="Q11" i="9"/>
  <c r="H11" i="9"/>
  <c r="G11" i="9"/>
  <c r="T11" i="9"/>
  <c r="U11" i="9"/>
  <c r="S11" i="9"/>
  <c r="W10" i="9"/>
  <c r="M11" i="9"/>
  <c r="R12" i="9"/>
  <c r="N11" i="9"/>
  <c r="L11" i="8"/>
  <c r="X10" i="9"/>
  <c r="I11" i="8" a="1"/>
  <c r="I11" i="8" s="1"/>
  <c r="O11" i="8"/>
  <c r="P11" i="8" s="1"/>
  <c r="F11" i="8" a="1"/>
  <c r="F11" i="8" s="1"/>
  <c r="W9" i="8"/>
  <c r="H10" i="8"/>
  <c r="G10" i="8"/>
  <c r="U10" i="8"/>
  <c r="T10" i="8"/>
  <c r="S10" i="8"/>
  <c r="N10" i="8"/>
  <c r="M10" i="8"/>
  <c r="X9" i="8"/>
  <c r="Q10" i="8"/>
  <c r="K10" i="8"/>
  <c r="J10" i="8"/>
  <c r="C11" i="8"/>
  <c r="B11" i="8"/>
  <c r="E10" i="8"/>
  <c r="D10" i="8"/>
  <c r="B16" i="22" l="1"/>
  <c r="V16" i="22"/>
  <c r="V16" i="21"/>
  <c r="B16" i="21"/>
  <c r="U17" i="21" s="1"/>
  <c r="V17" i="20"/>
  <c r="B17" i="20"/>
  <c r="U18" i="20" s="1"/>
  <c r="B17" i="18"/>
  <c r="U18" i="18" s="1"/>
  <c r="V17" i="18"/>
  <c r="U17" i="22"/>
  <c r="V17" i="22" s="1"/>
  <c r="F17" i="22"/>
  <c r="O17" i="22"/>
  <c r="I17" i="22"/>
  <c r="L18" i="22" s="1"/>
  <c r="R18" i="22"/>
  <c r="E16" i="22"/>
  <c r="D16" i="22"/>
  <c r="Q16" i="22"/>
  <c r="P16" i="22"/>
  <c r="X15" i="22"/>
  <c r="H16" i="22"/>
  <c r="G16" i="22"/>
  <c r="T16" i="22"/>
  <c r="S16" i="22"/>
  <c r="Y15" i="22"/>
  <c r="K16" i="22"/>
  <c r="J16" i="22"/>
  <c r="N16" i="22"/>
  <c r="M16" i="22"/>
  <c r="F17" i="21"/>
  <c r="O17" i="21"/>
  <c r="I17" i="21"/>
  <c r="L18" i="21" s="1"/>
  <c r="R19" i="21" s="1"/>
  <c r="T16" i="21"/>
  <c r="S16" i="21"/>
  <c r="X15" i="21"/>
  <c r="Y15" i="21"/>
  <c r="H16" i="21"/>
  <c r="G16" i="21"/>
  <c r="K16" i="21"/>
  <c r="J16" i="21"/>
  <c r="Q16" i="21"/>
  <c r="P16" i="21"/>
  <c r="M16" i="21"/>
  <c r="N16" i="21"/>
  <c r="E16" i="21"/>
  <c r="D16" i="21"/>
  <c r="R19" i="20"/>
  <c r="O18" i="20"/>
  <c r="I18" i="20"/>
  <c r="L19" i="20" s="1"/>
  <c r="F18" i="20"/>
  <c r="T17" i="20"/>
  <c r="S17" i="20"/>
  <c r="X16" i="20"/>
  <c r="H17" i="20"/>
  <c r="G17" i="20"/>
  <c r="Y16" i="20"/>
  <c r="K17" i="20"/>
  <c r="J17" i="20"/>
  <c r="Q17" i="20"/>
  <c r="P17" i="20"/>
  <c r="N17" i="20"/>
  <c r="M17" i="20"/>
  <c r="E17" i="20"/>
  <c r="D17" i="20"/>
  <c r="F18" i="18"/>
  <c r="O18" i="18"/>
  <c r="I18" i="18"/>
  <c r="L19" i="18" s="1"/>
  <c r="R20" i="18" s="1"/>
  <c r="E17" i="18"/>
  <c r="D17" i="18"/>
  <c r="X16" i="18"/>
  <c r="Y16" i="18"/>
  <c r="N17" i="18"/>
  <c r="M17" i="18"/>
  <c r="S17" i="18"/>
  <c r="T17" i="18"/>
  <c r="K17" i="18"/>
  <c r="J17" i="18"/>
  <c r="R12" i="8"/>
  <c r="H17" i="18"/>
  <c r="G17" i="18"/>
  <c r="Q17" i="18"/>
  <c r="P17" i="18"/>
  <c r="I13" i="9"/>
  <c r="O13" i="9"/>
  <c r="P13" i="9" s="1"/>
  <c r="L12" i="8"/>
  <c r="F13" i="9"/>
  <c r="L13" i="9"/>
  <c r="X11" i="9"/>
  <c r="H12" i="9"/>
  <c r="G12" i="9"/>
  <c r="K12" i="9"/>
  <c r="J12" i="9"/>
  <c r="S12" i="9"/>
  <c r="U12" i="9"/>
  <c r="T12" i="9"/>
  <c r="W11" i="9"/>
  <c r="M12" i="9"/>
  <c r="R13" i="9"/>
  <c r="N12" i="9"/>
  <c r="C13" i="9"/>
  <c r="B13" i="9"/>
  <c r="E12" i="9"/>
  <c r="D12" i="9"/>
  <c r="O12" i="8"/>
  <c r="P12" i="8" s="1"/>
  <c r="Q12" i="9"/>
  <c r="I12" i="8" a="1"/>
  <c r="I12" i="8" s="1"/>
  <c r="F12" i="8" a="1"/>
  <c r="F12" i="8" s="1"/>
  <c r="H11" i="8"/>
  <c r="G11" i="8"/>
  <c r="U11" i="8"/>
  <c r="T11" i="8"/>
  <c r="S11" i="8"/>
  <c r="W10" i="8"/>
  <c r="X10" i="8"/>
  <c r="E11" i="8"/>
  <c r="D11" i="8"/>
  <c r="C12" i="8"/>
  <c r="B12" i="8"/>
  <c r="K11" i="8"/>
  <c r="J11" i="8"/>
  <c r="N11" i="8"/>
  <c r="M11" i="8"/>
  <c r="Q11" i="8"/>
  <c r="B17" i="22" l="1"/>
  <c r="V17" i="21"/>
  <c r="B17" i="21"/>
  <c r="U18" i="21" s="1"/>
  <c r="V18" i="20"/>
  <c r="B18" i="20"/>
  <c r="U19" i="20" s="1"/>
  <c r="V18" i="18"/>
  <c r="B18" i="18"/>
  <c r="U19" i="18" s="1"/>
  <c r="U18" i="22"/>
  <c r="F18" i="22"/>
  <c r="O18" i="22"/>
  <c r="I18" i="22"/>
  <c r="Q17" i="22"/>
  <c r="P17" i="22"/>
  <c r="T17" i="22"/>
  <c r="S17" i="22"/>
  <c r="X16" i="22"/>
  <c r="H17" i="22"/>
  <c r="G17" i="22"/>
  <c r="Y16" i="22"/>
  <c r="K17" i="22"/>
  <c r="J17" i="22"/>
  <c r="N17" i="22"/>
  <c r="M17" i="22"/>
  <c r="E17" i="22"/>
  <c r="D17" i="22"/>
  <c r="R19" i="22"/>
  <c r="F18" i="21"/>
  <c r="O18" i="21"/>
  <c r="I18" i="21"/>
  <c r="L19" i="21" s="1"/>
  <c r="R20" i="21" s="1"/>
  <c r="Y16" i="21"/>
  <c r="X16" i="21"/>
  <c r="H17" i="21"/>
  <c r="G17" i="21"/>
  <c r="Q17" i="21"/>
  <c r="P17" i="21"/>
  <c r="K17" i="21"/>
  <c r="J17" i="21"/>
  <c r="M17" i="21"/>
  <c r="N17" i="21"/>
  <c r="E17" i="21"/>
  <c r="D17" i="21"/>
  <c r="O19" i="20"/>
  <c r="T17" i="21"/>
  <c r="S17" i="21"/>
  <c r="R20" i="20"/>
  <c r="I19" i="20"/>
  <c r="L20" i="20" s="1"/>
  <c r="F19" i="20"/>
  <c r="Y17" i="20"/>
  <c r="N18" i="20"/>
  <c r="M18" i="20"/>
  <c r="X17" i="20"/>
  <c r="G18" i="20"/>
  <c r="H18" i="20"/>
  <c r="Q18" i="20"/>
  <c r="P18" i="20"/>
  <c r="E18" i="20"/>
  <c r="D18" i="20"/>
  <c r="K18" i="20"/>
  <c r="J18" i="20"/>
  <c r="S18" i="20"/>
  <c r="T18" i="20"/>
  <c r="O19" i="18"/>
  <c r="I19" i="18"/>
  <c r="L20" i="18" s="1"/>
  <c r="R21" i="18" s="1"/>
  <c r="F19" i="18"/>
  <c r="Q18" i="18"/>
  <c r="P18" i="18"/>
  <c r="M18" i="18"/>
  <c r="N18" i="18"/>
  <c r="E18" i="18"/>
  <c r="D18" i="18"/>
  <c r="J18" i="18"/>
  <c r="K18" i="18"/>
  <c r="S18" i="18"/>
  <c r="T18" i="18"/>
  <c r="X17" i="18"/>
  <c r="R13" i="8"/>
  <c r="G18" i="18"/>
  <c r="H18" i="18"/>
  <c r="Y17" i="18"/>
  <c r="O14" i="9"/>
  <c r="P14" i="9" s="1"/>
  <c r="L14" i="9"/>
  <c r="F14" i="9"/>
  <c r="I14" i="9"/>
  <c r="X12" i="9"/>
  <c r="H13" i="9"/>
  <c r="G13" i="9"/>
  <c r="K13" i="9"/>
  <c r="J13" i="9"/>
  <c r="Q13" i="9"/>
  <c r="W12" i="9"/>
  <c r="C14" i="9"/>
  <c r="B14" i="9"/>
  <c r="E13" i="9"/>
  <c r="D13" i="9"/>
  <c r="O13" i="8"/>
  <c r="P13" i="8" s="1"/>
  <c r="M13" i="9"/>
  <c r="R14" i="9"/>
  <c r="N13" i="9"/>
  <c r="L13" i="8"/>
  <c r="T13" i="9"/>
  <c r="U13" i="9"/>
  <c r="S13" i="9"/>
  <c r="I13" i="8" a="1"/>
  <c r="I13" i="8" s="1"/>
  <c r="F13" i="8" a="1"/>
  <c r="F13" i="8" s="1"/>
  <c r="X11" i="8"/>
  <c r="E12" i="8"/>
  <c r="D12" i="8"/>
  <c r="C13" i="8"/>
  <c r="B13" i="8"/>
  <c r="S12" i="8"/>
  <c r="U12" i="8"/>
  <c r="T12" i="8"/>
  <c r="G12" i="8"/>
  <c r="H12" i="8"/>
  <c r="J12" i="8"/>
  <c r="K12" i="8"/>
  <c r="W11" i="8"/>
  <c r="N12" i="8"/>
  <c r="M12" i="8"/>
  <c r="Q12" i="8"/>
  <c r="B18" i="22" l="1"/>
  <c r="V18" i="22"/>
  <c r="V18" i="21"/>
  <c r="B18" i="21"/>
  <c r="U19" i="21" s="1"/>
  <c r="V19" i="20"/>
  <c r="B19" i="20"/>
  <c r="U20" i="20" s="1"/>
  <c r="B19" i="18"/>
  <c r="U20" i="18" s="1"/>
  <c r="V19" i="18"/>
  <c r="U19" i="22"/>
  <c r="I19" i="22"/>
  <c r="L19" i="22"/>
  <c r="R20" i="22" s="1"/>
  <c r="F19" i="22"/>
  <c r="O19" i="22"/>
  <c r="K18" i="22"/>
  <c r="J18" i="22"/>
  <c r="E18" i="22"/>
  <c r="D18" i="22"/>
  <c r="Q18" i="22"/>
  <c r="P18" i="22"/>
  <c r="N18" i="22"/>
  <c r="M18" i="22"/>
  <c r="X17" i="22"/>
  <c r="G18" i="22"/>
  <c r="H18" i="22"/>
  <c r="Y17" i="22"/>
  <c r="S18" i="22"/>
  <c r="T18" i="22"/>
  <c r="O19" i="21"/>
  <c r="I19" i="21"/>
  <c r="L20" i="21" s="1"/>
  <c r="R21" i="21" s="1"/>
  <c r="F19" i="21"/>
  <c r="E18" i="21"/>
  <c r="D18" i="21"/>
  <c r="T18" i="21"/>
  <c r="S18" i="21"/>
  <c r="X17" i="21"/>
  <c r="Y17" i="21"/>
  <c r="H18" i="21"/>
  <c r="G18" i="21"/>
  <c r="Q18" i="21"/>
  <c r="P18" i="21"/>
  <c r="K18" i="21"/>
  <c r="J18" i="21"/>
  <c r="M18" i="21"/>
  <c r="N18" i="21"/>
  <c r="R21" i="20"/>
  <c r="O20" i="20"/>
  <c r="I20" i="20"/>
  <c r="L21" i="20" s="1"/>
  <c r="F20" i="20"/>
  <c r="Y18" i="20"/>
  <c r="O20" i="18"/>
  <c r="H19" i="20"/>
  <c r="G19" i="20"/>
  <c r="K19" i="20"/>
  <c r="J19" i="20"/>
  <c r="Q19" i="20"/>
  <c r="P19" i="20"/>
  <c r="N19" i="20"/>
  <c r="M19" i="20"/>
  <c r="E19" i="20"/>
  <c r="D19" i="20"/>
  <c r="X18" i="20"/>
  <c r="T19" i="20"/>
  <c r="S19" i="20"/>
  <c r="F20" i="18"/>
  <c r="I20" i="18"/>
  <c r="L21" i="18" s="1"/>
  <c r="R22" i="18" s="1"/>
  <c r="X18" i="18"/>
  <c r="N19" i="18"/>
  <c r="M19" i="18"/>
  <c r="H19" i="18"/>
  <c r="G19" i="18"/>
  <c r="Y18" i="18"/>
  <c r="R14" i="8"/>
  <c r="J19" i="18"/>
  <c r="K19" i="18"/>
  <c r="Q19" i="18"/>
  <c r="P19" i="18"/>
  <c r="T19" i="18"/>
  <c r="S19" i="18"/>
  <c r="E19" i="18"/>
  <c r="D19" i="18"/>
  <c r="L15" i="9"/>
  <c r="O15" i="9"/>
  <c r="P15" i="9" s="1"/>
  <c r="F15" i="9"/>
  <c r="I15" i="9"/>
  <c r="T14" i="9"/>
  <c r="U14" i="9"/>
  <c r="S14" i="9"/>
  <c r="W13" i="9"/>
  <c r="Q14" i="9"/>
  <c r="C15" i="9"/>
  <c r="B15" i="9"/>
  <c r="E14" i="9"/>
  <c r="D14" i="9"/>
  <c r="O14" i="8"/>
  <c r="P14" i="8" s="1"/>
  <c r="X13" i="9"/>
  <c r="L14" i="8"/>
  <c r="H14" i="9"/>
  <c r="G14" i="9"/>
  <c r="M14" i="9"/>
  <c r="R15" i="9"/>
  <c r="N14" i="9"/>
  <c r="K14" i="9"/>
  <c r="J14" i="9"/>
  <c r="I14" i="8" a="1"/>
  <c r="I14" i="8" s="1"/>
  <c r="F14" i="8" a="1"/>
  <c r="F14" i="8" s="1"/>
  <c r="W12" i="8"/>
  <c r="Q13" i="8"/>
  <c r="E13" i="8"/>
  <c r="D13" i="8"/>
  <c r="C14" i="8"/>
  <c r="B14" i="8"/>
  <c r="N13" i="8"/>
  <c r="M13" i="8"/>
  <c r="H13" i="8"/>
  <c r="G13" i="8"/>
  <c r="X12" i="8"/>
  <c r="U13" i="8"/>
  <c r="T13" i="8"/>
  <c r="S13" i="8"/>
  <c r="K13" i="8"/>
  <c r="J13" i="8"/>
  <c r="B19" i="22" l="1"/>
  <c r="V19" i="22"/>
  <c r="V19" i="21"/>
  <c r="B19" i="21"/>
  <c r="U20" i="21" s="1"/>
  <c r="V20" i="20"/>
  <c r="B20" i="20"/>
  <c r="U21" i="20" s="1"/>
  <c r="B20" i="18"/>
  <c r="U21" i="18" s="1"/>
  <c r="V20" i="18"/>
  <c r="U20" i="22"/>
  <c r="L20" i="22"/>
  <c r="R21" i="22" s="1"/>
  <c r="I20" i="22"/>
  <c r="F20" i="22"/>
  <c r="O20" i="22"/>
  <c r="T19" i="22"/>
  <c r="S19" i="22"/>
  <c r="N19" i="22"/>
  <c r="M19" i="22"/>
  <c r="E19" i="22"/>
  <c r="D19" i="22"/>
  <c r="X18" i="22"/>
  <c r="Q19" i="22"/>
  <c r="P19" i="22"/>
  <c r="H19" i="22"/>
  <c r="G19" i="22"/>
  <c r="Y18" i="22"/>
  <c r="K19" i="22"/>
  <c r="J19" i="22"/>
  <c r="O20" i="21"/>
  <c r="F20" i="21"/>
  <c r="I20" i="21"/>
  <c r="L21" i="21" s="1"/>
  <c r="R22" i="21" s="1"/>
  <c r="T19" i="21"/>
  <c r="S19" i="21"/>
  <c r="X18" i="21"/>
  <c r="Y18" i="21"/>
  <c r="H19" i="21"/>
  <c r="G19" i="21"/>
  <c r="K19" i="21"/>
  <c r="J19" i="21"/>
  <c r="Q19" i="21"/>
  <c r="P19" i="21"/>
  <c r="O21" i="20"/>
  <c r="M19" i="21"/>
  <c r="N19" i="21"/>
  <c r="E19" i="21"/>
  <c r="D19" i="21"/>
  <c r="R22" i="20"/>
  <c r="I21" i="20"/>
  <c r="L22" i="20" s="1"/>
  <c r="F21" i="20"/>
  <c r="K20" i="20"/>
  <c r="J20" i="20"/>
  <c r="T20" i="20"/>
  <c r="S20" i="20"/>
  <c r="N20" i="20"/>
  <c r="M20" i="20"/>
  <c r="Y19" i="20"/>
  <c r="Q20" i="20"/>
  <c r="P20" i="20"/>
  <c r="E20" i="20"/>
  <c r="D20" i="20"/>
  <c r="X19" i="20"/>
  <c r="H20" i="20"/>
  <c r="G20" i="20"/>
  <c r="O21" i="18"/>
  <c r="I21" i="18"/>
  <c r="L22" i="18" s="1"/>
  <c r="R23" i="18" s="1"/>
  <c r="F21" i="18"/>
  <c r="E20" i="18"/>
  <c r="D20" i="18"/>
  <c r="N20" i="18"/>
  <c r="M20" i="18"/>
  <c r="Y19" i="18"/>
  <c r="Q20" i="18"/>
  <c r="P20" i="18"/>
  <c r="H20" i="18"/>
  <c r="G20" i="18"/>
  <c r="K20" i="18"/>
  <c r="J20" i="18"/>
  <c r="T20" i="18"/>
  <c r="S20" i="18"/>
  <c r="X19" i="18"/>
  <c r="R15" i="8"/>
  <c r="I16" i="9"/>
  <c r="F16" i="9"/>
  <c r="O15" i="8"/>
  <c r="P15" i="8" s="1"/>
  <c r="O16" i="9"/>
  <c r="P16" i="9" s="1"/>
  <c r="L16" i="9"/>
  <c r="M15" i="9"/>
  <c r="R16" i="9"/>
  <c r="N15" i="9"/>
  <c r="U15" i="9"/>
  <c r="T15" i="9"/>
  <c r="S15" i="9"/>
  <c r="Q15" i="9"/>
  <c r="H15" i="9"/>
  <c r="G15" i="9"/>
  <c r="C16" i="9"/>
  <c r="B16" i="9"/>
  <c r="E15" i="9"/>
  <c r="D15" i="9"/>
  <c r="K15" i="9"/>
  <c r="J15" i="9"/>
  <c r="L15" i="8"/>
  <c r="W14" i="9"/>
  <c r="X14" i="9"/>
  <c r="I15" i="8" a="1"/>
  <c r="I15" i="8" s="1"/>
  <c r="F15" i="8" a="1"/>
  <c r="F15" i="8" s="1"/>
  <c r="H14" i="8"/>
  <c r="G14" i="8"/>
  <c r="E14" i="8"/>
  <c r="D14" i="8"/>
  <c r="C15" i="8"/>
  <c r="B15" i="8"/>
  <c r="X13" i="8"/>
  <c r="U14" i="8"/>
  <c r="T14" i="8"/>
  <c r="S14" i="8"/>
  <c r="W13" i="8"/>
  <c r="Q14" i="8"/>
  <c r="M14" i="8"/>
  <c r="N14" i="8"/>
  <c r="K14" i="8"/>
  <c r="J14" i="8"/>
  <c r="V20" i="22" l="1"/>
  <c r="B20" i="22"/>
  <c r="V20" i="21"/>
  <c r="B20" i="21"/>
  <c r="U21" i="21" s="1"/>
  <c r="V21" i="20"/>
  <c r="B21" i="18"/>
  <c r="U22" i="18" s="1"/>
  <c r="B21" i="20"/>
  <c r="U22" i="20" s="1"/>
  <c r="V21" i="18"/>
  <c r="U21" i="22"/>
  <c r="I21" i="22"/>
  <c r="L21" i="22"/>
  <c r="R22" i="22" s="1"/>
  <c r="F21" i="22"/>
  <c r="O21" i="22"/>
  <c r="E20" i="22"/>
  <c r="D20" i="22"/>
  <c r="X19" i="22"/>
  <c r="H20" i="22"/>
  <c r="G20" i="22"/>
  <c r="Y19" i="22"/>
  <c r="Q20" i="22"/>
  <c r="P20" i="22"/>
  <c r="K20" i="22"/>
  <c r="J20" i="22"/>
  <c r="T20" i="22"/>
  <c r="S20" i="22"/>
  <c r="N20" i="22"/>
  <c r="M20" i="22"/>
  <c r="F21" i="21"/>
  <c r="O21" i="21"/>
  <c r="I21" i="21"/>
  <c r="L22" i="21" s="1"/>
  <c r="R23" i="21" s="1"/>
  <c r="O22" i="20"/>
  <c r="X19" i="21"/>
  <c r="Y19" i="21"/>
  <c r="K20" i="21"/>
  <c r="J20" i="21"/>
  <c r="Q20" i="21"/>
  <c r="P20" i="21"/>
  <c r="H20" i="21"/>
  <c r="G20" i="21"/>
  <c r="M20" i="21"/>
  <c r="N20" i="21"/>
  <c r="E20" i="21"/>
  <c r="D20" i="21"/>
  <c r="T20" i="21"/>
  <c r="S20" i="21"/>
  <c r="R23" i="20"/>
  <c r="I22" i="20"/>
  <c r="L23" i="20" s="1"/>
  <c r="F22" i="20"/>
  <c r="Q21" i="20"/>
  <c r="P21" i="20"/>
  <c r="M21" i="20"/>
  <c r="N21" i="20"/>
  <c r="T21" i="20"/>
  <c r="S21" i="20"/>
  <c r="E21" i="20"/>
  <c r="D21" i="20"/>
  <c r="X20" i="20"/>
  <c r="H21" i="20"/>
  <c r="G21" i="20"/>
  <c r="Y20" i="20"/>
  <c r="O22" i="18"/>
  <c r="K21" i="20"/>
  <c r="J21" i="20"/>
  <c r="F22" i="18"/>
  <c r="I22" i="18"/>
  <c r="L23" i="18" s="1"/>
  <c r="R24" i="18" s="1"/>
  <c r="S21" i="18"/>
  <c r="T21" i="18"/>
  <c r="K21" i="18"/>
  <c r="J21" i="18"/>
  <c r="G21" i="18"/>
  <c r="H21" i="18"/>
  <c r="Q21" i="18"/>
  <c r="P21" i="18"/>
  <c r="E21" i="18"/>
  <c r="D21" i="18"/>
  <c r="X20" i="18"/>
  <c r="R16" i="8"/>
  <c r="Y20" i="18"/>
  <c r="M21" i="18"/>
  <c r="N21" i="18"/>
  <c r="O17" i="9"/>
  <c r="P17" i="9" s="1"/>
  <c r="L17" i="9"/>
  <c r="O16" i="8"/>
  <c r="P16" i="8" s="1"/>
  <c r="F17" i="9"/>
  <c r="I17" i="9"/>
  <c r="W15" i="9"/>
  <c r="X15" i="9"/>
  <c r="Q16" i="9"/>
  <c r="H16" i="9"/>
  <c r="G16" i="9"/>
  <c r="K16" i="9"/>
  <c r="J16" i="9"/>
  <c r="U16" i="9"/>
  <c r="T16" i="9"/>
  <c r="S16" i="9"/>
  <c r="M16" i="9"/>
  <c r="R17" i="9"/>
  <c r="N16" i="9"/>
  <c r="L16" i="8"/>
  <c r="C17" i="9"/>
  <c r="B17" i="9"/>
  <c r="E16" i="9"/>
  <c r="D16" i="9"/>
  <c r="I16" i="8" a="1"/>
  <c r="I16" i="8" s="1"/>
  <c r="F16" i="8" a="1"/>
  <c r="F16" i="8" s="1"/>
  <c r="U15" i="8"/>
  <c r="T15" i="8"/>
  <c r="S15" i="8"/>
  <c r="H15" i="8"/>
  <c r="G15" i="8"/>
  <c r="M15" i="8"/>
  <c r="N15" i="8"/>
  <c r="C16" i="8"/>
  <c r="B16" i="8"/>
  <c r="D15" i="8"/>
  <c r="E15" i="8"/>
  <c r="X14" i="8"/>
  <c r="Q15" i="8"/>
  <c r="W14" i="8"/>
  <c r="J15" i="8"/>
  <c r="K15" i="8"/>
  <c r="B21" i="22" l="1"/>
  <c r="V21" i="22"/>
  <c r="V22" i="18"/>
  <c r="V21" i="21"/>
  <c r="B21" i="21"/>
  <c r="U22" i="21" s="1"/>
  <c r="V22" i="20"/>
  <c r="B22" i="20"/>
  <c r="U23" i="20" s="1"/>
  <c r="B22" i="18"/>
  <c r="U23" i="18" s="1"/>
  <c r="U22" i="22"/>
  <c r="L22" i="22"/>
  <c r="R23" i="22" s="1"/>
  <c r="I22" i="22"/>
  <c r="F22" i="22"/>
  <c r="O22" i="22"/>
  <c r="Q21" i="22"/>
  <c r="P21" i="22"/>
  <c r="T21" i="22"/>
  <c r="S21" i="22"/>
  <c r="E21" i="22"/>
  <c r="D21" i="22"/>
  <c r="X20" i="22"/>
  <c r="H21" i="22"/>
  <c r="G21" i="22"/>
  <c r="Y20" i="22"/>
  <c r="K21" i="22"/>
  <c r="J21" i="22"/>
  <c r="M21" i="22"/>
  <c r="N21" i="22"/>
  <c r="O22" i="21"/>
  <c r="I22" i="21"/>
  <c r="L23" i="21" s="1"/>
  <c r="R24" i="21" s="1"/>
  <c r="F22" i="21"/>
  <c r="T21" i="21"/>
  <c r="S21" i="21"/>
  <c r="Q21" i="21"/>
  <c r="P21" i="21"/>
  <c r="X20" i="21"/>
  <c r="Y20" i="21"/>
  <c r="H21" i="21"/>
  <c r="G21" i="21"/>
  <c r="K21" i="21"/>
  <c r="J21" i="21"/>
  <c r="M21" i="21"/>
  <c r="N21" i="21"/>
  <c r="O23" i="20"/>
  <c r="E21" i="21"/>
  <c r="D21" i="21"/>
  <c r="R24" i="20"/>
  <c r="I23" i="20"/>
  <c r="L24" i="20" s="1"/>
  <c r="F23" i="20"/>
  <c r="E22" i="20"/>
  <c r="D22" i="20"/>
  <c r="Q22" i="20"/>
  <c r="P22" i="20"/>
  <c r="K22" i="20"/>
  <c r="J22" i="20"/>
  <c r="T22" i="20"/>
  <c r="S22" i="20"/>
  <c r="X21" i="20"/>
  <c r="N22" i="20"/>
  <c r="M22" i="20"/>
  <c r="H22" i="20"/>
  <c r="G22" i="20"/>
  <c r="Y21" i="20"/>
  <c r="O23" i="18"/>
  <c r="I23" i="18"/>
  <c r="L24" i="18" s="1"/>
  <c r="R25" i="18" s="1"/>
  <c r="F23" i="18"/>
  <c r="R17" i="8"/>
  <c r="E22" i="18"/>
  <c r="D22" i="18"/>
  <c r="Q22" i="18"/>
  <c r="P22" i="18"/>
  <c r="T22" i="18"/>
  <c r="S22" i="18"/>
  <c r="H22" i="18"/>
  <c r="G22" i="18"/>
  <c r="X21" i="18"/>
  <c r="Y21" i="18"/>
  <c r="K22" i="18"/>
  <c r="J22" i="18"/>
  <c r="N22" i="18"/>
  <c r="M22" i="18"/>
  <c r="F18" i="9"/>
  <c r="O17" i="8"/>
  <c r="P17" i="8" s="1"/>
  <c r="L18" i="9"/>
  <c r="O18" i="9"/>
  <c r="P18" i="9" s="1"/>
  <c r="I18" i="9"/>
  <c r="W16" i="9"/>
  <c r="K17" i="9"/>
  <c r="J17" i="9"/>
  <c r="Q17" i="9"/>
  <c r="C18" i="9"/>
  <c r="B18" i="9"/>
  <c r="E17" i="9"/>
  <c r="D17" i="9"/>
  <c r="H17" i="9"/>
  <c r="G17" i="9"/>
  <c r="U17" i="9"/>
  <c r="T17" i="9"/>
  <c r="S17" i="9"/>
  <c r="X16" i="9"/>
  <c r="M17" i="9"/>
  <c r="R18" i="9"/>
  <c r="N17" i="9"/>
  <c r="L17" i="8"/>
  <c r="I17" i="8" a="1"/>
  <c r="I17" i="8" s="1"/>
  <c r="F17" i="8" a="1"/>
  <c r="F17" i="8" s="1"/>
  <c r="N16" i="8"/>
  <c r="M16" i="8"/>
  <c r="Q16" i="8"/>
  <c r="U16" i="8"/>
  <c r="T16" i="8"/>
  <c r="S16" i="8"/>
  <c r="W15" i="8"/>
  <c r="E16" i="8"/>
  <c r="B17" i="8"/>
  <c r="C17" i="8"/>
  <c r="D16" i="8"/>
  <c r="X15" i="8"/>
  <c r="K16" i="8"/>
  <c r="J16" i="8"/>
  <c r="H16" i="8"/>
  <c r="G16" i="8"/>
  <c r="B22" i="22" l="1"/>
  <c r="V22" i="22"/>
  <c r="V22" i="21"/>
  <c r="B22" i="21"/>
  <c r="U23" i="21" s="1"/>
  <c r="V23" i="20"/>
  <c r="B23" i="20"/>
  <c r="U24" i="20" s="1"/>
  <c r="V23" i="18"/>
  <c r="B23" i="18"/>
  <c r="U24" i="18" s="1"/>
  <c r="L23" i="22"/>
  <c r="U23" i="22"/>
  <c r="I23" i="22"/>
  <c r="F23" i="22"/>
  <c r="O23" i="22"/>
  <c r="X21" i="22"/>
  <c r="H22" i="22"/>
  <c r="G22" i="22"/>
  <c r="Y21" i="22"/>
  <c r="T22" i="22"/>
  <c r="S22" i="22"/>
  <c r="K22" i="22"/>
  <c r="J22" i="22"/>
  <c r="N22" i="22"/>
  <c r="M22" i="22"/>
  <c r="R24" i="22"/>
  <c r="E22" i="22"/>
  <c r="D22" i="22"/>
  <c r="Q22" i="22"/>
  <c r="P22" i="22"/>
  <c r="O23" i="21"/>
  <c r="I23" i="21"/>
  <c r="L24" i="21" s="1"/>
  <c r="R25" i="21" s="1"/>
  <c r="F23" i="21"/>
  <c r="Y21" i="21"/>
  <c r="O24" i="20"/>
  <c r="X21" i="21"/>
  <c r="Q22" i="21"/>
  <c r="P22" i="21"/>
  <c r="K22" i="21"/>
  <c r="J22" i="21"/>
  <c r="H22" i="21"/>
  <c r="G22" i="21"/>
  <c r="M22" i="21"/>
  <c r="N22" i="21"/>
  <c r="E22" i="21"/>
  <c r="D22" i="21"/>
  <c r="T22" i="21"/>
  <c r="S22" i="21"/>
  <c r="R25" i="20"/>
  <c r="I24" i="20"/>
  <c r="L25" i="20" s="1"/>
  <c r="F24" i="20"/>
  <c r="Q23" i="20"/>
  <c r="P23" i="20"/>
  <c r="X22" i="20"/>
  <c r="H23" i="20"/>
  <c r="G23" i="20"/>
  <c r="Y22" i="20"/>
  <c r="K23" i="20"/>
  <c r="J23" i="20"/>
  <c r="N23" i="20"/>
  <c r="M23" i="20"/>
  <c r="T23" i="20"/>
  <c r="S23" i="20"/>
  <c r="E23" i="20"/>
  <c r="D23" i="20"/>
  <c r="R18" i="8"/>
  <c r="O24" i="18"/>
  <c r="F24" i="18"/>
  <c r="I24" i="18"/>
  <c r="L25" i="18" s="1"/>
  <c r="R26" i="18" s="1"/>
  <c r="K23" i="18"/>
  <c r="J23" i="18"/>
  <c r="N23" i="18"/>
  <c r="M23" i="18"/>
  <c r="H23" i="18"/>
  <c r="G23" i="18"/>
  <c r="T23" i="18"/>
  <c r="S23" i="18"/>
  <c r="X22" i="18"/>
  <c r="Y22" i="18"/>
  <c r="Q23" i="18"/>
  <c r="P23" i="18"/>
  <c r="E23" i="18"/>
  <c r="D23" i="18"/>
  <c r="I19" i="9"/>
  <c r="F19" i="9"/>
  <c r="L18" i="8"/>
  <c r="L19" i="9"/>
  <c r="O19" i="9"/>
  <c r="X17" i="9"/>
  <c r="K18" i="9"/>
  <c r="J18" i="9"/>
  <c r="M18" i="9"/>
  <c r="R19" i="9"/>
  <c r="N18" i="9"/>
  <c r="W17" i="9"/>
  <c r="C19" i="9"/>
  <c r="B19" i="9"/>
  <c r="E18" i="9"/>
  <c r="D18" i="9"/>
  <c r="U18" i="9"/>
  <c r="T18" i="9"/>
  <c r="S18" i="9"/>
  <c r="H18" i="9"/>
  <c r="G18" i="9"/>
  <c r="Q18" i="9"/>
  <c r="O18" i="8"/>
  <c r="P18" i="8" s="1"/>
  <c r="I18" i="8" a="1"/>
  <c r="I18" i="8" s="1"/>
  <c r="F18" i="8" a="1"/>
  <c r="F18" i="8" s="1"/>
  <c r="X16" i="8"/>
  <c r="E17" i="8"/>
  <c r="D17" i="8"/>
  <c r="C18" i="8"/>
  <c r="B18" i="8"/>
  <c r="T17" i="8"/>
  <c r="S17" i="8"/>
  <c r="U17" i="8"/>
  <c r="Q17" i="8"/>
  <c r="W16" i="8"/>
  <c r="G17" i="8"/>
  <c r="H17" i="8"/>
  <c r="K17" i="8"/>
  <c r="J17" i="8"/>
  <c r="N17" i="8"/>
  <c r="M17" i="8"/>
  <c r="B23" i="22" l="1"/>
  <c r="L24" i="22"/>
  <c r="V23" i="22"/>
  <c r="V23" i="21"/>
  <c r="B23" i="21"/>
  <c r="U24" i="21" s="1"/>
  <c r="V24" i="20"/>
  <c r="B24" i="20"/>
  <c r="U25" i="20" s="1"/>
  <c r="V24" i="18"/>
  <c r="B24" i="18"/>
  <c r="U25" i="18" s="1"/>
  <c r="U24" i="22"/>
  <c r="F24" i="22"/>
  <c r="O24" i="22"/>
  <c r="I24" i="22"/>
  <c r="T23" i="22"/>
  <c r="S23" i="22"/>
  <c r="X22" i="22"/>
  <c r="H23" i="22"/>
  <c r="G23" i="22"/>
  <c r="Y22" i="22"/>
  <c r="K23" i="22"/>
  <c r="J23" i="22"/>
  <c r="N23" i="22"/>
  <c r="M23" i="22"/>
  <c r="E23" i="22"/>
  <c r="D23" i="22"/>
  <c r="R25" i="22"/>
  <c r="Q23" i="22"/>
  <c r="P23" i="22"/>
  <c r="O24" i="21"/>
  <c r="I24" i="21"/>
  <c r="L25" i="21" s="1"/>
  <c r="R26" i="21" s="1"/>
  <c r="F24" i="21"/>
  <c r="E23" i="21"/>
  <c r="D23" i="21"/>
  <c r="Q23" i="21"/>
  <c r="P23" i="21"/>
  <c r="T23" i="21"/>
  <c r="S23" i="21"/>
  <c r="X22" i="21"/>
  <c r="Y22" i="21"/>
  <c r="H23" i="21"/>
  <c r="G23" i="21"/>
  <c r="K23" i="21"/>
  <c r="J23" i="21"/>
  <c r="M23" i="21"/>
  <c r="N23" i="21"/>
  <c r="R26" i="20"/>
  <c r="O25" i="20"/>
  <c r="I25" i="20"/>
  <c r="L26" i="20" s="1"/>
  <c r="F25" i="20"/>
  <c r="K24" i="20"/>
  <c r="J24" i="20"/>
  <c r="S24" i="20"/>
  <c r="T24" i="20"/>
  <c r="R19" i="8"/>
  <c r="N24" i="20"/>
  <c r="M24" i="20"/>
  <c r="E24" i="20"/>
  <c r="D24" i="20"/>
  <c r="X23" i="20"/>
  <c r="Y23" i="20"/>
  <c r="Q24" i="20"/>
  <c r="P24" i="20"/>
  <c r="G24" i="20"/>
  <c r="H24" i="20"/>
  <c r="O25" i="18"/>
  <c r="I25" i="18"/>
  <c r="L26" i="18" s="1"/>
  <c r="R27" i="18" s="1"/>
  <c r="F25" i="18"/>
  <c r="M24" i="18"/>
  <c r="N24" i="18"/>
  <c r="K24" i="18"/>
  <c r="J24" i="18"/>
  <c r="X23" i="18"/>
  <c r="Q24" i="18"/>
  <c r="P24" i="18"/>
  <c r="G24" i="18"/>
  <c r="H24" i="18"/>
  <c r="E24" i="18"/>
  <c r="D24" i="18"/>
  <c r="Y23" i="18"/>
  <c r="S24" i="18"/>
  <c r="T24" i="18"/>
  <c r="L19" i="8"/>
  <c r="L20" i="9"/>
  <c r="O20" i="9"/>
  <c r="P20" i="9" s="1"/>
  <c r="P19" i="9"/>
  <c r="I20" i="9"/>
  <c r="F20" i="9"/>
  <c r="K19" i="9"/>
  <c r="J19" i="9"/>
  <c r="C20" i="9"/>
  <c r="B20" i="9"/>
  <c r="E19" i="9"/>
  <c r="D19" i="9"/>
  <c r="H19" i="9"/>
  <c r="G19" i="9"/>
  <c r="M19" i="9"/>
  <c r="R20" i="9"/>
  <c r="N19" i="9"/>
  <c r="U19" i="9"/>
  <c r="T19" i="9"/>
  <c r="S19" i="9"/>
  <c r="W18" i="9"/>
  <c r="Q19" i="9"/>
  <c r="O19" i="8"/>
  <c r="P19" i="8" s="1"/>
  <c r="X18" i="9"/>
  <c r="I19" i="8" a="1"/>
  <c r="I19" i="8" s="1"/>
  <c r="F19" i="8" a="1"/>
  <c r="F19" i="8" s="1"/>
  <c r="S18" i="8"/>
  <c r="U18" i="8"/>
  <c r="T18" i="8"/>
  <c r="K18" i="8"/>
  <c r="J18" i="8"/>
  <c r="W17" i="8"/>
  <c r="N18" i="8"/>
  <c r="M18" i="8"/>
  <c r="G18" i="8"/>
  <c r="H18" i="8"/>
  <c r="E18" i="8"/>
  <c r="D18" i="8"/>
  <c r="C19" i="8"/>
  <c r="B19" i="8"/>
  <c r="Q18" i="8"/>
  <c r="X17" i="8"/>
  <c r="B24" i="22" l="1"/>
  <c r="V24" i="22"/>
  <c r="V24" i="21"/>
  <c r="B24" i="21"/>
  <c r="U25" i="21" s="1"/>
  <c r="V25" i="20"/>
  <c r="B25" i="20"/>
  <c r="U26" i="20" s="1"/>
  <c r="B25" i="18"/>
  <c r="U26" i="18" s="1"/>
  <c r="V25" i="18"/>
  <c r="U25" i="22"/>
  <c r="L25" i="22"/>
  <c r="R26" i="22" s="1"/>
  <c r="F25" i="22"/>
  <c r="I25" i="22"/>
  <c r="O25" i="22"/>
  <c r="S24" i="22"/>
  <c r="T24" i="22"/>
  <c r="K24" i="22"/>
  <c r="J24" i="22"/>
  <c r="N24" i="22"/>
  <c r="M24" i="22"/>
  <c r="E24" i="22"/>
  <c r="D24" i="22"/>
  <c r="Q24" i="22"/>
  <c r="P24" i="22"/>
  <c r="X23" i="22"/>
  <c r="G24" i="22"/>
  <c r="H24" i="22"/>
  <c r="Y23" i="22"/>
  <c r="O25" i="21"/>
  <c r="F25" i="21"/>
  <c r="I25" i="21"/>
  <c r="L26" i="21" s="1"/>
  <c r="R27" i="21" s="1"/>
  <c r="X23" i="21"/>
  <c r="Y23" i="21"/>
  <c r="Q24" i="21"/>
  <c r="P24" i="21"/>
  <c r="H24" i="21"/>
  <c r="G24" i="21"/>
  <c r="K24" i="21"/>
  <c r="J24" i="21"/>
  <c r="T24" i="21"/>
  <c r="S24" i="21"/>
  <c r="M24" i="21"/>
  <c r="N24" i="21"/>
  <c r="E24" i="21"/>
  <c r="D24" i="21"/>
  <c r="R27" i="20"/>
  <c r="O26" i="20"/>
  <c r="I26" i="20"/>
  <c r="L27" i="20" s="1"/>
  <c r="F26" i="20"/>
  <c r="R20" i="8"/>
  <c r="Y24" i="20"/>
  <c r="H25" i="20"/>
  <c r="G25" i="20"/>
  <c r="K25" i="20"/>
  <c r="J25" i="20"/>
  <c r="Q25" i="20"/>
  <c r="P25" i="20"/>
  <c r="T25" i="20"/>
  <c r="S25" i="20"/>
  <c r="N25" i="20"/>
  <c r="M25" i="20"/>
  <c r="E25" i="20"/>
  <c r="D25" i="20"/>
  <c r="X24" i="20"/>
  <c r="O26" i="18"/>
  <c r="I26" i="18"/>
  <c r="L27" i="18" s="1"/>
  <c r="R28" i="18" s="1"/>
  <c r="F26" i="18"/>
  <c r="N25" i="18"/>
  <c r="M25" i="18"/>
  <c r="E25" i="18"/>
  <c r="D25" i="18"/>
  <c r="X24" i="18"/>
  <c r="H25" i="18"/>
  <c r="G25" i="18"/>
  <c r="K25" i="18"/>
  <c r="J25" i="18"/>
  <c r="Q25" i="18"/>
  <c r="P25" i="18"/>
  <c r="Y24" i="18"/>
  <c r="T25" i="18"/>
  <c r="S25" i="18"/>
  <c r="F21" i="9"/>
  <c r="O21" i="9"/>
  <c r="P21" i="9" s="1"/>
  <c r="I21" i="9"/>
  <c r="L21" i="9"/>
  <c r="W19" i="9"/>
  <c r="X19" i="9"/>
  <c r="H20" i="9"/>
  <c r="G20" i="9"/>
  <c r="K20" i="9"/>
  <c r="J20" i="9"/>
  <c r="M20" i="9"/>
  <c r="R21" i="9"/>
  <c r="N20" i="9"/>
  <c r="C21" i="9"/>
  <c r="B21" i="9"/>
  <c r="E20" i="9"/>
  <c r="D20" i="9"/>
  <c r="U20" i="9"/>
  <c r="T20" i="9"/>
  <c r="S20" i="9"/>
  <c r="O20" i="8"/>
  <c r="P20" i="8" s="1"/>
  <c r="L20" i="8"/>
  <c r="Q20" i="9"/>
  <c r="I20" i="8" a="1"/>
  <c r="I20" i="8" s="1"/>
  <c r="F20" i="8" a="1"/>
  <c r="F20" i="8" s="1"/>
  <c r="U19" i="8"/>
  <c r="T19" i="8"/>
  <c r="S19" i="8"/>
  <c r="W18" i="8"/>
  <c r="N19" i="8"/>
  <c r="M19" i="8"/>
  <c r="Q19" i="8"/>
  <c r="X18" i="8"/>
  <c r="E19" i="8"/>
  <c r="D19" i="8"/>
  <c r="B20" i="8"/>
  <c r="C20" i="8"/>
  <c r="H19" i="8"/>
  <c r="G19" i="8"/>
  <c r="K19" i="8"/>
  <c r="J19" i="8"/>
  <c r="B25" i="22" l="1"/>
  <c r="V25" i="22"/>
  <c r="V25" i="21"/>
  <c r="B25" i="21"/>
  <c r="U26" i="21" s="1"/>
  <c r="V26" i="20"/>
  <c r="B26" i="20"/>
  <c r="U27" i="20" s="1"/>
  <c r="B26" i="18"/>
  <c r="U27" i="18" s="1"/>
  <c r="V26" i="18"/>
  <c r="U26" i="22"/>
  <c r="L26" i="22"/>
  <c r="R27" i="22" s="1"/>
  <c r="F26" i="22"/>
  <c r="I26" i="22"/>
  <c r="O26" i="22"/>
  <c r="X24" i="22"/>
  <c r="Y24" i="22"/>
  <c r="H25" i="22"/>
  <c r="G25" i="22"/>
  <c r="K25" i="22"/>
  <c r="J25" i="22"/>
  <c r="Q25" i="22"/>
  <c r="P25" i="22"/>
  <c r="T25" i="22"/>
  <c r="S25" i="22"/>
  <c r="N25" i="22"/>
  <c r="M25" i="22"/>
  <c r="E25" i="22"/>
  <c r="D25" i="22"/>
  <c r="F26" i="21"/>
  <c r="O26" i="21"/>
  <c r="I26" i="21"/>
  <c r="L27" i="21" s="1"/>
  <c r="R28" i="21" s="1"/>
  <c r="X24" i="21"/>
  <c r="Y24" i="21"/>
  <c r="H25" i="21"/>
  <c r="G25" i="21"/>
  <c r="K25" i="21"/>
  <c r="J25" i="21"/>
  <c r="Q25" i="21"/>
  <c r="P25" i="21"/>
  <c r="M25" i="21"/>
  <c r="N25" i="21"/>
  <c r="E25" i="21"/>
  <c r="D25" i="21"/>
  <c r="O27" i="20"/>
  <c r="T25" i="21"/>
  <c r="S25" i="21"/>
  <c r="R21" i="8"/>
  <c r="R28" i="20"/>
  <c r="I27" i="20"/>
  <c r="L28" i="20" s="1"/>
  <c r="F27" i="20"/>
  <c r="T26" i="20"/>
  <c r="S26" i="20"/>
  <c r="N26" i="20"/>
  <c r="M26" i="20"/>
  <c r="E26" i="20"/>
  <c r="D26" i="20"/>
  <c r="X25" i="20"/>
  <c r="H26" i="20"/>
  <c r="G26" i="20"/>
  <c r="Y25" i="20"/>
  <c r="Q26" i="20"/>
  <c r="P26" i="20"/>
  <c r="K26" i="20"/>
  <c r="J26" i="20"/>
  <c r="F27" i="18"/>
  <c r="O27" i="18"/>
  <c r="I27" i="18"/>
  <c r="L28" i="18" s="1"/>
  <c r="R29" i="18" s="1"/>
  <c r="X25" i="18"/>
  <c r="E26" i="18"/>
  <c r="D26" i="18"/>
  <c r="Y25" i="18"/>
  <c r="H26" i="18"/>
  <c r="G26" i="18"/>
  <c r="N26" i="18"/>
  <c r="M26" i="18"/>
  <c r="K26" i="18"/>
  <c r="J26" i="18"/>
  <c r="Q26" i="18"/>
  <c r="P26" i="18"/>
  <c r="T26" i="18"/>
  <c r="S26" i="18"/>
  <c r="F22" i="9"/>
  <c r="I22" i="9"/>
  <c r="L22" i="9"/>
  <c r="O22" i="9"/>
  <c r="P22" i="9" s="1"/>
  <c r="U21" i="9"/>
  <c r="T21" i="9"/>
  <c r="S21" i="9"/>
  <c r="M21" i="9"/>
  <c r="R22" i="9"/>
  <c r="N21" i="9"/>
  <c r="C22" i="9"/>
  <c r="B22" i="9"/>
  <c r="E21" i="9"/>
  <c r="D21" i="9"/>
  <c r="W20" i="9"/>
  <c r="Q21" i="9"/>
  <c r="X20" i="9"/>
  <c r="H21" i="9"/>
  <c r="G21" i="9"/>
  <c r="O21" i="8"/>
  <c r="P21" i="8" s="1"/>
  <c r="K21" i="9"/>
  <c r="J21" i="9"/>
  <c r="L21" i="8"/>
  <c r="I21" i="8" a="1"/>
  <c r="I21" i="8" s="1"/>
  <c r="X19" i="8"/>
  <c r="F21" i="8" a="1"/>
  <c r="F21" i="8" s="1"/>
  <c r="K20" i="8"/>
  <c r="J20" i="8"/>
  <c r="N20" i="8"/>
  <c r="M20" i="8"/>
  <c r="U20" i="8"/>
  <c r="T20" i="8"/>
  <c r="S20" i="8"/>
  <c r="E20" i="8"/>
  <c r="C21" i="8"/>
  <c r="D20" i="8"/>
  <c r="B21" i="8"/>
  <c r="Q20" i="8"/>
  <c r="W19" i="8"/>
  <c r="H20" i="8"/>
  <c r="G20" i="8"/>
  <c r="L27" i="22" l="1"/>
  <c r="B26" i="22"/>
  <c r="V26" i="22"/>
  <c r="V26" i="21"/>
  <c r="B26" i="21"/>
  <c r="U27" i="21" s="1"/>
  <c r="V27" i="20"/>
  <c r="B27" i="20"/>
  <c r="U28" i="20" s="1"/>
  <c r="V27" i="18"/>
  <c r="B27" i="18"/>
  <c r="U28" i="18" s="1"/>
  <c r="U27" i="22"/>
  <c r="F27" i="22"/>
  <c r="O27" i="22"/>
  <c r="I27" i="22"/>
  <c r="L28" i="22" s="1"/>
  <c r="T26" i="22"/>
  <c r="S26" i="22"/>
  <c r="N26" i="22"/>
  <c r="M26" i="22"/>
  <c r="R28" i="22"/>
  <c r="E26" i="22"/>
  <c r="D26" i="22"/>
  <c r="X25" i="22"/>
  <c r="H26" i="22"/>
  <c r="G26" i="22"/>
  <c r="Y25" i="22"/>
  <c r="Q26" i="22"/>
  <c r="P26" i="22"/>
  <c r="K26" i="22"/>
  <c r="J26" i="22"/>
  <c r="O27" i="21"/>
  <c r="I27" i="21"/>
  <c r="L28" i="21" s="1"/>
  <c r="R29" i="21" s="1"/>
  <c r="F27" i="21"/>
  <c r="R22" i="8"/>
  <c r="E26" i="21"/>
  <c r="D26" i="21"/>
  <c r="T26" i="21"/>
  <c r="S26" i="21"/>
  <c r="X25" i="21"/>
  <c r="Y25" i="21"/>
  <c r="H26" i="21"/>
  <c r="G26" i="21"/>
  <c r="Q26" i="21"/>
  <c r="P26" i="21"/>
  <c r="K26" i="21"/>
  <c r="J26" i="21"/>
  <c r="M26" i="21"/>
  <c r="N26" i="21"/>
  <c r="R29" i="20"/>
  <c r="O28" i="20"/>
  <c r="I28" i="20"/>
  <c r="L29" i="20" s="1"/>
  <c r="F28" i="20"/>
  <c r="X26" i="20"/>
  <c r="Y26" i="20"/>
  <c r="K27" i="20"/>
  <c r="J27" i="20"/>
  <c r="M27" i="20"/>
  <c r="N27" i="20"/>
  <c r="E27" i="20"/>
  <c r="D27" i="20"/>
  <c r="Q27" i="20"/>
  <c r="P27" i="20"/>
  <c r="T27" i="20"/>
  <c r="S27" i="20"/>
  <c r="H27" i="20"/>
  <c r="G27" i="20"/>
  <c r="O28" i="18"/>
  <c r="I28" i="18"/>
  <c r="L29" i="18" s="1"/>
  <c r="R30" i="18" s="1"/>
  <c r="F28" i="18"/>
  <c r="Q27" i="18"/>
  <c r="P27" i="18"/>
  <c r="E27" i="18"/>
  <c r="D27" i="18"/>
  <c r="G27" i="18"/>
  <c r="H27" i="18"/>
  <c r="K27" i="18"/>
  <c r="J27" i="18"/>
  <c r="X26" i="18"/>
  <c r="Y26" i="18"/>
  <c r="M27" i="18"/>
  <c r="N27" i="18"/>
  <c r="S27" i="18"/>
  <c r="T27" i="18"/>
  <c r="L23" i="9"/>
  <c r="I23" i="9"/>
  <c r="L22" i="8"/>
  <c r="O23" i="9"/>
  <c r="P23" i="9" s="1"/>
  <c r="F23" i="9"/>
  <c r="H22" i="9"/>
  <c r="G22" i="9"/>
  <c r="Q22" i="9"/>
  <c r="M22" i="9"/>
  <c r="R23" i="9"/>
  <c r="N22" i="9"/>
  <c r="C23" i="9"/>
  <c r="B23" i="9"/>
  <c r="E22" i="9"/>
  <c r="D22" i="9"/>
  <c r="K22" i="9"/>
  <c r="J22" i="9"/>
  <c r="U22" i="9"/>
  <c r="T22" i="9"/>
  <c r="S22" i="9"/>
  <c r="O22" i="8"/>
  <c r="P22" i="8" s="1"/>
  <c r="X21" i="9"/>
  <c r="W21" i="9"/>
  <c r="I22" i="8" a="1"/>
  <c r="I22" i="8" s="1"/>
  <c r="F22" i="8" a="1"/>
  <c r="F22" i="8" s="1"/>
  <c r="X20" i="8"/>
  <c r="C22" i="8"/>
  <c r="B22" i="8"/>
  <c r="D21" i="8"/>
  <c r="E21" i="8"/>
  <c r="M21" i="8"/>
  <c r="N21" i="8"/>
  <c r="K21" i="8"/>
  <c r="J21" i="8"/>
  <c r="U21" i="8"/>
  <c r="T21" i="8"/>
  <c r="S21" i="8"/>
  <c r="Q21" i="8"/>
  <c r="W20" i="8"/>
  <c r="H21" i="8"/>
  <c r="G21" i="8"/>
  <c r="B27" i="22" l="1"/>
  <c r="V27" i="22"/>
  <c r="V27" i="21"/>
  <c r="B27" i="21"/>
  <c r="U28" i="21" s="1"/>
  <c r="V28" i="20"/>
  <c r="B28" i="20"/>
  <c r="U29" i="20" s="1"/>
  <c r="V28" i="18"/>
  <c r="B28" i="18"/>
  <c r="U29" i="18" s="1"/>
  <c r="U28" i="22"/>
  <c r="I28" i="22"/>
  <c r="L29" i="22" s="1"/>
  <c r="F28" i="22"/>
  <c r="O28" i="22"/>
  <c r="Y26" i="22"/>
  <c r="R29" i="22"/>
  <c r="E27" i="22"/>
  <c r="D27" i="22"/>
  <c r="X26" i="22"/>
  <c r="H27" i="22"/>
  <c r="G27" i="22"/>
  <c r="K27" i="22"/>
  <c r="J27" i="22"/>
  <c r="M27" i="22"/>
  <c r="N27" i="22"/>
  <c r="Q27" i="22"/>
  <c r="P27" i="22"/>
  <c r="T27" i="22"/>
  <c r="S27" i="22"/>
  <c r="R23" i="8"/>
  <c r="O28" i="21"/>
  <c r="F28" i="21"/>
  <c r="I28" i="21"/>
  <c r="L29" i="21" s="1"/>
  <c r="R30" i="21" s="1"/>
  <c r="X26" i="21"/>
  <c r="Y26" i="21"/>
  <c r="H27" i="21"/>
  <c r="G27" i="21"/>
  <c r="T27" i="21"/>
  <c r="S27" i="21"/>
  <c r="K27" i="21"/>
  <c r="J27" i="21"/>
  <c r="Q27" i="21"/>
  <c r="P27" i="21"/>
  <c r="M27" i="21"/>
  <c r="N27" i="21"/>
  <c r="E27" i="21"/>
  <c r="D27" i="21"/>
  <c r="R30" i="20"/>
  <c r="O29" i="20"/>
  <c r="I29" i="20"/>
  <c r="L30" i="20" s="1"/>
  <c r="F29" i="20"/>
  <c r="Y27" i="20"/>
  <c r="K28" i="20"/>
  <c r="J28" i="20"/>
  <c r="N28" i="20"/>
  <c r="M28" i="20"/>
  <c r="Q28" i="20"/>
  <c r="P28" i="20"/>
  <c r="E28" i="20"/>
  <c r="D28" i="20"/>
  <c r="T28" i="20"/>
  <c r="S28" i="20"/>
  <c r="X27" i="20"/>
  <c r="O29" i="18"/>
  <c r="H28" i="20"/>
  <c r="G28" i="20"/>
  <c r="I29" i="18"/>
  <c r="L30" i="18" s="1"/>
  <c r="R31" i="18" s="1"/>
  <c r="F29" i="18"/>
  <c r="Y27" i="18"/>
  <c r="Q28" i="18"/>
  <c r="P28" i="18"/>
  <c r="X27" i="18"/>
  <c r="H28" i="18"/>
  <c r="G28" i="18"/>
  <c r="K28" i="18"/>
  <c r="J28" i="18"/>
  <c r="N28" i="18"/>
  <c r="M28" i="18"/>
  <c r="T28" i="18"/>
  <c r="S28" i="18"/>
  <c r="E28" i="18"/>
  <c r="D28" i="18"/>
  <c r="O24" i="9"/>
  <c r="P24" i="9" s="1"/>
  <c r="F24" i="9"/>
  <c r="L24" i="9"/>
  <c r="I24" i="9"/>
  <c r="U23" i="9"/>
  <c r="T23" i="9"/>
  <c r="S23" i="9"/>
  <c r="W22" i="9"/>
  <c r="C24" i="9"/>
  <c r="B24" i="9"/>
  <c r="E23" i="9"/>
  <c r="D23" i="9"/>
  <c r="X22" i="9"/>
  <c r="Q23" i="9"/>
  <c r="M23" i="9"/>
  <c r="R24" i="9"/>
  <c r="N23" i="9"/>
  <c r="H23" i="9"/>
  <c r="G23" i="9"/>
  <c r="L23" i="8"/>
  <c r="K23" i="9"/>
  <c r="J23" i="9"/>
  <c r="O23" i="8"/>
  <c r="P23" i="8" s="1"/>
  <c r="I23" i="8" a="1"/>
  <c r="I23" i="8" s="1"/>
  <c r="F23" i="8" a="1"/>
  <c r="F23" i="8" s="1"/>
  <c r="X21" i="8"/>
  <c r="W21" i="8"/>
  <c r="K22" i="8"/>
  <c r="J22" i="8"/>
  <c r="U22" i="8"/>
  <c r="T22" i="8"/>
  <c r="S22" i="8"/>
  <c r="H22" i="8"/>
  <c r="G22" i="8"/>
  <c r="N22" i="8"/>
  <c r="M22" i="8"/>
  <c r="Q22" i="8"/>
  <c r="C23" i="8"/>
  <c r="B23" i="8"/>
  <c r="E22" i="8"/>
  <c r="D22" i="8"/>
  <c r="B28" i="22" l="1"/>
  <c r="V28" i="22"/>
  <c r="V28" i="21"/>
  <c r="B28" i="21"/>
  <c r="U29" i="21" s="1"/>
  <c r="V29" i="20"/>
  <c r="B29" i="20"/>
  <c r="U30" i="20" s="1"/>
  <c r="V29" i="18"/>
  <c r="B29" i="18"/>
  <c r="U30" i="18" s="1"/>
  <c r="U29" i="22"/>
  <c r="I29" i="22"/>
  <c r="L30" i="22" s="1"/>
  <c r="F29" i="22"/>
  <c r="O29" i="22"/>
  <c r="Q28" i="22"/>
  <c r="P28" i="22"/>
  <c r="X27" i="22"/>
  <c r="H28" i="22"/>
  <c r="G28" i="22"/>
  <c r="Y27" i="22"/>
  <c r="R24" i="8"/>
  <c r="K28" i="22"/>
  <c r="J28" i="22"/>
  <c r="T28" i="22"/>
  <c r="S28" i="22"/>
  <c r="N28" i="22"/>
  <c r="M28" i="22"/>
  <c r="R30" i="22"/>
  <c r="E28" i="22"/>
  <c r="D28" i="22"/>
  <c r="O29" i="21"/>
  <c r="I29" i="21"/>
  <c r="L30" i="21" s="1"/>
  <c r="R31" i="21" s="1"/>
  <c r="F29" i="21"/>
  <c r="X27" i="21"/>
  <c r="Y27" i="21"/>
  <c r="H28" i="21"/>
  <c r="G28" i="21"/>
  <c r="K28" i="21"/>
  <c r="J28" i="21"/>
  <c r="M28" i="21"/>
  <c r="N28" i="21"/>
  <c r="Q28" i="21"/>
  <c r="P28" i="21"/>
  <c r="E28" i="21"/>
  <c r="D28" i="21"/>
  <c r="T28" i="21"/>
  <c r="S28" i="21"/>
  <c r="R31" i="20"/>
  <c r="O30" i="20"/>
  <c r="I30" i="20"/>
  <c r="L31" i="20" s="1"/>
  <c r="F30" i="20"/>
  <c r="Y28" i="20"/>
  <c r="K29" i="20"/>
  <c r="J29" i="20"/>
  <c r="N29" i="20"/>
  <c r="M29" i="20"/>
  <c r="E29" i="20"/>
  <c r="D29" i="20"/>
  <c r="T29" i="20"/>
  <c r="S29" i="20"/>
  <c r="Q29" i="20"/>
  <c r="P29" i="20"/>
  <c r="X28" i="20"/>
  <c r="H29" i="20"/>
  <c r="G29" i="20"/>
  <c r="O30" i="18"/>
  <c r="F30" i="18"/>
  <c r="I30" i="18"/>
  <c r="L31" i="18" s="1"/>
  <c r="R32" i="18" s="1"/>
  <c r="Y28" i="18"/>
  <c r="T29" i="18"/>
  <c r="S29" i="18"/>
  <c r="H29" i="18"/>
  <c r="G29" i="18"/>
  <c r="K29" i="18"/>
  <c r="J29" i="18"/>
  <c r="N29" i="18"/>
  <c r="M29" i="18"/>
  <c r="Q29" i="18"/>
  <c r="P29" i="18"/>
  <c r="X28" i="18"/>
  <c r="E29" i="18"/>
  <c r="D29" i="18"/>
  <c r="O25" i="9"/>
  <c r="P25" i="9" s="1"/>
  <c r="I25" i="9"/>
  <c r="F25" i="9"/>
  <c r="L25" i="9"/>
  <c r="X23" i="9"/>
  <c r="H24" i="9"/>
  <c r="G24" i="9"/>
  <c r="K24" i="9"/>
  <c r="J24" i="9"/>
  <c r="Q24" i="9"/>
  <c r="M24" i="9"/>
  <c r="R25" i="9"/>
  <c r="N24" i="9"/>
  <c r="C25" i="9"/>
  <c r="B25" i="9"/>
  <c r="E24" i="9"/>
  <c r="D24" i="9"/>
  <c r="W23" i="9"/>
  <c r="U24" i="9"/>
  <c r="T24" i="9"/>
  <c r="S24" i="9"/>
  <c r="O24" i="8"/>
  <c r="P24" i="8" s="1"/>
  <c r="L24" i="8"/>
  <c r="I24" i="8" a="1"/>
  <c r="I24" i="8" s="1"/>
  <c r="F24" i="8" a="1"/>
  <c r="F24" i="8" s="1"/>
  <c r="K23" i="8"/>
  <c r="J23" i="8"/>
  <c r="G23" i="8"/>
  <c r="H23" i="8"/>
  <c r="N23" i="8"/>
  <c r="M23" i="8"/>
  <c r="X22" i="8"/>
  <c r="W22" i="8"/>
  <c r="Q23" i="8"/>
  <c r="E23" i="8"/>
  <c r="D23" i="8"/>
  <c r="C24" i="8"/>
  <c r="B24" i="8"/>
  <c r="S23" i="8"/>
  <c r="T23" i="8"/>
  <c r="U23" i="8"/>
  <c r="B29" i="22" l="1"/>
  <c r="V29" i="22"/>
  <c r="V29" i="21"/>
  <c r="B29" i="21"/>
  <c r="U30" i="21" s="1"/>
  <c r="V30" i="20"/>
  <c r="B30" i="20"/>
  <c r="U31" i="20" s="1"/>
  <c r="V30" i="18"/>
  <c r="B30" i="18"/>
  <c r="U31" i="18" s="1"/>
  <c r="U30" i="22"/>
  <c r="F30" i="22"/>
  <c r="O30" i="22"/>
  <c r="I30" i="22"/>
  <c r="R25" i="8"/>
  <c r="X28" i="22"/>
  <c r="F30" i="21"/>
  <c r="H29" i="22"/>
  <c r="G29" i="22"/>
  <c r="Y28" i="22"/>
  <c r="K29" i="22"/>
  <c r="J29" i="22"/>
  <c r="N29" i="22"/>
  <c r="M29" i="22"/>
  <c r="E29" i="22"/>
  <c r="D29" i="22"/>
  <c r="R31" i="22"/>
  <c r="T29" i="22"/>
  <c r="S29" i="22"/>
  <c r="Q29" i="22"/>
  <c r="P29" i="22"/>
  <c r="O30" i="21"/>
  <c r="I30" i="21"/>
  <c r="L31" i="21" s="1"/>
  <c r="R32" i="21" s="1"/>
  <c r="X28" i="21"/>
  <c r="T29" i="21"/>
  <c r="S29" i="21"/>
  <c r="Y28" i="21"/>
  <c r="H29" i="21"/>
  <c r="G29" i="21"/>
  <c r="Q29" i="21"/>
  <c r="P29" i="21"/>
  <c r="K29" i="21"/>
  <c r="J29" i="21"/>
  <c r="M29" i="21"/>
  <c r="N29" i="21"/>
  <c r="E29" i="21"/>
  <c r="D29" i="21"/>
  <c r="R32" i="20"/>
  <c r="O31" i="20"/>
  <c r="I31" i="20"/>
  <c r="L32" i="20" s="1"/>
  <c r="F31" i="20"/>
  <c r="K30" i="20"/>
  <c r="J30" i="20"/>
  <c r="N30" i="20"/>
  <c r="M30" i="20"/>
  <c r="E30" i="20"/>
  <c r="D30" i="20"/>
  <c r="X29" i="20"/>
  <c r="Q30" i="20"/>
  <c r="P30" i="20"/>
  <c r="G30" i="20"/>
  <c r="H30" i="20"/>
  <c r="Y29" i="20"/>
  <c r="S30" i="20"/>
  <c r="T30" i="20"/>
  <c r="O31" i="18"/>
  <c r="I31" i="18"/>
  <c r="L32" i="18" s="1"/>
  <c r="R33" i="18" s="1"/>
  <c r="F31" i="18"/>
  <c r="M30" i="18"/>
  <c r="N30" i="18"/>
  <c r="Q30" i="18"/>
  <c r="P30" i="18"/>
  <c r="G30" i="18"/>
  <c r="H30" i="18"/>
  <c r="E30" i="18"/>
  <c r="D30" i="18"/>
  <c r="X29" i="18"/>
  <c r="S30" i="18"/>
  <c r="T30" i="18"/>
  <c r="K30" i="18"/>
  <c r="J30" i="18"/>
  <c r="Y29" i="18"/>
  <c r="O26" i="9"/>
  <c r="P26" i="9" s="1"/>
  <c r="L26" i="9"/>
  <c r="F26" i="9"/>
  <c r="I26" i="9"/>
  <c r="X24" i="9"/>
  <c r="W24" i="9"/>
  <c r="M25" i="9"/>
  <c r="R26" i="9"/>
  <c r="N25" i="9"/>
  <c r="U25" i="9"/>
  <c r="T25" i="9"/>
  <c r="S25" i="9"/>
  <c r="C26" i="9"/>
  <c r="B26" i="9"/>
  <c r="E25" i="9"/>
  <c r="D25" i="9"/>
  <c r="H25" i="9"/>
  <c r="G25" i="9"/>
  <c r="Q25" i="9"/>
  <c r="O25" i="8"/>
  <c r="P25" i="8" s="1"/>
  <c r="K25" i="9"/>
  <c r="J25" i="9"/>
  <c r="L25" i="8"/>
  <c r="R26" i="8" s="1"/>
  <c r="I25" i="8" a="1"/>
  <c r="I25" i="8" s="1"/>
  <c r="F25" i="8" a="1"/>
  <c r="F25" i="8" s="1"/>
  <c r="S24" i="8"/>
  <c r="U24" i="8"/>
  <c r="T24" i="8"/>
  <c r="Q24" i="8"/>
  <c r="E24" i="8"/>
  <c r="D24" i="8"/>
  <c r="C25" i="8"/>
  <c r="B25" i="8"/>
  <c r="G24" i="8"/>
  <c r="H24" i="8"/>
  <c r="N24" i="8"/>
  <c r="M24" i="8"/>
  <c r="J24" i="8"/>
  <c r="K24" i="8"/>
  <c r="W23" i="8"/>
  <c r="X23" i="8"/>
  <c r="B30" i="22" l="1"/>
  <c r="V30" i="22"/>
  <c r="V30" i="21"/>
  <c r="B30" i="21"/>
  <c r="U31" i="21" s="1"/>
  <c r="V31" i="20"/>
  <c r="B31" i="20"/>
  <c r="U32" i="20" s="1"/>
  <c r="V31" i="18"/>
  <c r="B31" i="18"/>
  <c r="U32" i="18" s="1"/>
  <c r="U31" i="22"/>
  <c r="L31" i="22"/>
  <c r="R32" i="22" s="1"/>
  <c r="F31" i="22"/>
  <c r="I31" i="22"/>
  <c r="O31" i="22"/>
  <c r="Y29" i="22"/>
  <c r="F31" i="21"/>
  <c r="X29" i="22"/>
  <c r="G30" i="22"/>
  <c r="H30" i="22"/>
  <c r="S30" i="22"/>
  <c r="T30" i="22"/>
  <c r="K30" i="22"/>
  <c r="J30" i="22"/>
  <c r="N30" i="22"/>
  <c r="M30" i="22"/>
  <c r="E30" i="22"/>
  <c r="D30" i="22"/>
  <c r="Q30" i="22"/>
  <c r="P30" i="22"/>
  <c r="O31" i="21"/>
  <c r="I31" i="21"/>
  <c r="L32" i="21" s="1"/>
  <c r="R33" i="21" s="1"/>
  <c r="Y29" i="21"/>
  <c r="X29" i="21"/>
  <c r="H30" i="21"/>
  <c r="G30" i="21"/>
  <c r="Q30" i="21"/>
  <c r="P30" i="21"/>
  <c r="K30" i="21"/>
  <c r="J30" i="21"/>
  <c r="M30" i="21"/>
  <c r="N30" i="21"/>
  <c r="E30" i="21"/>
  <c r="D30" i="21"/>
  <c r="O32" i="20"/>
  <c r="T30" i="21"/>
  <c r="S30" i="21"/>
  <c r="R33" i="20"/>
  <c r="I32" i="20"/>
  <c r="L33" i="20" s="1"/>
  <c r="F32" i="20"/>
  <c r="N31" i="20"/>
  <c r="M31" i="20"/>
  <c r="E31" i="20"/>
  <c r="D31" i="20"/>
  <c r="F32" i="18"/>
  <c r="X30" i="20"/>
  <c r="H31" i="20"/>
  <c r="G31" i="20"/>
  <c r="Y30" i="20"/>
  <c r="K31" i="20"/>
  <c r="J31" i="20"/>
  <c r="Q31" i="20"/>
  <c r="P31" i="20"/>
  <c r="T31" i="20"/>
  <c r="S31" i="20"/>
  <c r="O32" i="18"/>
  <c r="I32" i="18"/>
  <c r="L33" i="18" s="1"/>
  <c r="Y30" i="18"/>
  <c r="X30" i="18"/>
  <c r="K31" i="18"/>
  <c r="J31" i="18"/>
  <c r="H31" i="18"/>
  <c r="G31" i="18"/>
  <c r="Q31" i="18"/>
  <c r="P31" i="18"/>
  <c r="N31" i="18"/>
  <c r="M31" i="18"/>
  <c r="E31" i="18"/>
  <c r="D31" i="18"/>
  <c r="T31" i="18"/>
  <c r="S31" i="18"/>
  <c r="I27" i="9"/>
  <c r="L26" i="8"/>
  <c r="R27" i="8" s="1"/>
  <c r="F27" i="9"/>
  <c r="L27" i="9"/>
  <c r="O27" i="9"/>
  <c r="P27" i="9" s="1"/>
  <c r="M26" i="9"/>
  <c r="R27" i="9"/>
  <c r="N26" i="9"/>
  <c r="C27" i="9"/>
  <c r="B27" i="9"/>
  <c r="E26" i="9"/>
  <c r="D26" i="9"/>
  <c r="Q26" i="9"/>
  <c r="U26" i="9"/>
  <c r="T26" i="9"/>
  <c r="S26" i="9"/>
  <c r="H26" i="9"/>
  <c r="G26" i="9"/>
  <c r="W25" i="9"/>
  <c r="K26" i="9"/>
  <c r="J26" i="9"/>
  <c r="O26" i="8"/>
  <c r="P26" i="8" s="1"/>
  <c r="X25" i="9"/>
  <c r="I26" i="8" a="1"/>
  <c r="I26" i="8" s="1"/>
  <c r="F26" i="8" a="1"/>
  <c r="F26" i="8" s="1"/>
  <c r="X24" i="8"/>
  <c r="K25" i="8"/>
  <c r="J25" i="8"/>
  <c r="N25" i="8"/>
  <c r="M25" i="8"/>
  <c r="E25" i="8"/>
  <c r="D25" i="8"/>
  <c r="B26" i="8"/>
  <c r="C26" i="8"/>
  <c r="W24" i="8"/>
  <c r="Q25" i="8"/>
  <c r="H25" i="8"/>
  <c r="G25" i="8"/>
  <c r="U25" i="8"/>
  <c r="T25" i="8"/>
  <c r="S25" i="8"/>
  <c r="B31" i="22" l="1"/>
  <c r="V31" i="22"/>
  <c r="V31" i="21"/>
  <c r="B31" i="21"/>
  <c r="U32" i="21" s="1"/>
  <c r="V32" i="20"/>
  <c r="B32" i="20"/>
  <c r="U33" i="20" s="1"/>
  <c r="V32" i="18"/>
  <c r="B32" i="18"/>
  <c r="U33" i="18" s="1"/>
  <c r="U32" i="22"/>
  <c r="L32" i="22"/>
  <c r="R33" i="22" s="1"/>
  <c r="I32" i="22"/>
  <c r="F32" i="22"/>
  <c r="O32" i="22"/>
  <c r="K31" i="22"/>
  <c r="J31" i="22"/>
  <c r="T31" i="22"/>
  <c r="S31" i="22"/>
  <c r="N31" i="22"/>
  <c r="M31" i="22"/>
  <c r="E31" i="22"/>
  <c r="D31" i="22"/>
  <c r="X30" i="22"/>
  <c r="H31" i="22"/>
  <c r="G31" i="22"/>
  <c r="Q31" i="22"/>
  <c r="P31" i="22"/>
  <c r="Y30" i="22"/>
  <c r="O32" i="21"/>
  <c r="I32" i="21"/>
  <c r="L33" i="21" s="1"/>
  <c r="F32" i="21"/>
  <c r="E31" i="21"/>
  <c r="D31" i="21"/>
  <c r="T31" i="21"/>
  <c r="S31" i="21"/>
  <c r="X30" i="21"/>
  <c r="Y30" i="21"/>
  <c r="H31" i="21"/>
  <c r="G31" i="21"/>
  <c r="Q31" i="21"/>
  <c r="P31" i="21"/>
  <c r="K31" i="21"/>
  <c r="J31" i="21"/>
  <c r="O33" i="20"/>
  <c r="M31" i="21"/>
  <c r="N31" i="21"/>
  <c r="I33" i="20"/>
  <c r="F33" i="20"/>
  <c r="N32" i="20"/>
  <c r="M32" i="20"/>
  <c r="E32" i="20"/>
  <c r="D32" i="20"/>
  <c r="X31" i="20"/>
  <c r="H32" i="20"/>
  <c r="G32" i="20"/>
  <c r="Y31" i="20"/>
  <c r="K32" i="20"/>
  <c r="J32" i="20"/>
  <c r="Q32" i="20"/>
  <c r="P32" i="20"/>
  <c r="T32" i="20"/>
  <c r="S32" i="20"/>
  <c r="O33" i="18"/>
  <c r="I33" i="18"/>
  <c r="F33" i="18"/>
  <c r="K32" i="18"/>
  <c r="J32" i="18"/>
  <c r="T32" i="18"/>
  <c r="S32" i="18"/>
  <c r="Q32" i="18"/>
  <c r="P32" i="18"/>
  <c r="X31" i="18"/>
  <c r="E32" i="18"/>
  <c r="D32" i="18"/>
  <c r="N32" i="18"/>
  <c r="M32" i="18"/>
  <c r="Y31" i="18"/>
  <c r="H32" i="18"/>
  <c r="G32" i="18"/>
  <c r="L28" i="9"/>
  <c r="O28" i="9"/>
  <c r="P28" i="9" s="1"/>
  <c r="I28" i="9"/>
  <c r="F28" i="9"/>
  <c r="H27" i="9"/>
  <c r="G27" i="9"/>
  <c r="K27" i="9"/>
  <c r="J27" i="9"/>
  <c r="Q27" i="9"/>
  <c r="W26" i="9"/>
  <c r="M27" i="9"/>
  <c r="R28" i="9"/>
  <c r="N27" i="9"/>
  <c r="C28" i="9"/>
  <c r="B28" i="9"/>
  <c r="E27" i="9"/>
  <c r="D27" i="9"/>
  <c r="U27" i="9"/>
  <c r="T27" i="9"/>
  <c r="S27" i="9"/>
  <c r="X26" i="9"/>
  <c r="O27" i="8"/>
  <c r="P27" i="8" s="1"/>
  <c r="L27" i="8"/>
  <c r="R28" i="8" s="1"/>
  <c r="I27" i="8" a="1"/>
  <c r="I27" i="8" s="1"/>
  <c r="F27" i="8" a="1"/>
  <c r="F27" i="8" s="1"/>
  <c r="E26" i="8"/>
  <c r="D26" i="8"/>
  <c r="C27" i="8"/>
  <c r="B27" i="8"/>
  <c r="H26" i="8"/>
  <c r="G26" i="8"/>
  <c r="Q26" i="8"/>
  <c r="W25" i="8"/>
  <c r="K26" i="8"/>
  <c r="J26" i="8"/>
  <c r="M26" i="8"/>
  <c r="N26" i="8"/>
  <c r="X25" i="8"/>
  <c r="U26" i="8"/>
  <c r="T26" i="8"/>
  <c r="S26" i="8"/>
  <c r="B32" i="22" l="1"/>
  <c r="V32" i="22"/>
  <c r="B33" i="18"/>
  <c r="B33" i="20"/>
  <c r="V32" i="21"/>
  <c r="B32" i="21"/>
  <c r="U33" i="21" s="1"/>
  <c r="V33" i="20"/>
  <c r="V33" i="18"/>
  <c r="L33" i="22"/>
  <c r="U33" i="22"/>
  <c r="F33" i="22"/>
  <c r="O33" i="22"/>
  <c r="I33" i="22"/>
  <c r="X31" i="22"/>
  <c r="Y31" i="22"/>
  <c r="H32" i="22"/>
  <c r="G32" i="22"/>
  <c r="K32" i="22"/>
  <c r="J32" i="22"/>
  <c r="Q32" i="22"/>
  <c r="P32" i="22"/>
  <c r="T32" i="22"/>
  <c r="S32" i="22"/>
  <c r="N32" i="22"/>
  <c r="M32" i="22"/>
  <c r="E32" i="22"/>
  <c r="D32" i="22"/>
  <c r="O33" i="21"/>
  <c r="F33" i="21"/>
  <c r="I33" i="21"/>
  <c r="T32" i="21"/>
  <c r="S32" i="21"/>
  <c r="X31" i="21"/>
  <c r="Y31" i="21"/>
  <c r="H32" i="21"/>
  <c r="G32" i="21"/>
  <c r="K32" i="21"/>
  <c r="J32" i="21"/>
  <c r="Q32" i="21"/>
  <c r="P32" i="21"/>
  <c r="M32" i="21"/>
  <c r="N32" i="21"/>
  <c r="E32" i="21"/>
  <c r="D32" i="21"/>
  <c r="E33" i="20"/>
  <c r="D33" i="20"/>
  <c r="X32" i="20"/>
  <c r="H33" i="20"/>
  <c r="G33" i="20"/>
  <c r="Y32" i="20"/>
  <c r="K33" i="20"/>
  <c r="J33" i="20"/>
  <c r="M33" i="20"/>
  <c r="N33" i="20"/>
  <c r="Q33" i="20"/>
  <c r="P33" i="20"/>
  <c r="T33" i="20"/>
  <c r="S33" i="20"/>
  <c r="Y32" i="18"/>
  <c r="K33" i="18"/>
  <c r="J33" i="18"/>
  <c r="G33" i="18"/>
  <c r="H33" i="18"/>
  <c r="M33" i="18"/>
  <c r="N33" i="18"/>
  <c r="T33" i="18"/>
  <c r="S33" i="18"/>
  <c r="E33" i="18"/>
  <c r="D33" i="18"/>
  <c r="Q33" i="18"/>
  <c r="P33" i="18"/>
  <c r="X32" i="18"/>
  <c r="F29" i="9"/>
  <c r="O29" i="9"/>
  <c r="P29" i="9" s="1"/>
  <c r="L29" i="9"/>
  <c r="I29" i="9"/>
  <c r="U28" i="9"/>
  <c r="T28" i="9"/>
  <c r="S28" i="9"/>
  <c r="C29" i="9"/>
  <c r="B29" i="9"/>
  <c r="E28" i="9"/>
  <c r="D28" i="9"/>
  <c r="X27" i="9"/>
  <c r="W27" i="9"/>
  <c r="H28" i="9"/>
  <c r="G28" i="9"/>
  <c r="K28" i="9"/>
  <c r="J28" i="9"/>
  <c r="Q28" i="9"/>
  <c r="L28" i="8"/>
  <c r="R29" i="8" s="1"/>
  <c r="M28" i="9"/>
  <c r="R29" i="9"/>
  <c r="N28" i="9"/>
  <c r="O28" i="8"/>
  <c r="P28" i="8" s="1"/>
  <c r="I28" i="8" a="1"/>
  <c r="I28" i="8" s="1"/>
  <c r="F28" i="8" a="1"/>
  <c r="F28" i="8" s="1"/>
  <c r="U27" i="8"/>
  <c r="T27" i="8"/>
  <c r="S27" i="8"/>
  <c r="X26" i="8"/>
  <c r="W26" i="8"/>
  <c r="K27" i="8"/>
  <c r="J27" i="8"/>
  <c r="Q27" i="8"/>
  <c r="C28" i="8"/>
  <c r="B28" i="8"/>
  <c r="D27" i="8"/>
  <c r="E27" i="8"/>
  <c r="H27" i="8"/>
  <c r="G27" i="8"/>
  <c r="M27" i="8"/>
  <c r="N27" i="8"/>
  <c r="B33" i="22" l="1"/>
  <c r="V33" i="22"/>
  <c r="V33" i="21"/>
  <c r="B33" i="21"/>
  <c r="T33" i="22"/>
  <c r="S33" i="22"/>
  <c r="E33" i="22"/>
  <c r="D33" i="22"/>
  <c r="X32" i="22"/>
  <c r="H33" i="22"/>
  <c r="G33" i="22"/>
  <c r="Y32" i="22"/>
  <c r="K33" i="22"/>
  <c r="J33" i="22"/>
  <c r="Q33" i="22"/>
  <c r="P33" i="22"/>
  <c r="M33" i="22"/>
  <c r="N33" i="22"/>
  <c r="Y32" i="21"/>
  <c r="X32" i="21"/>
  <c r="H33" i="21"/>
  <c r="G33" i="21"/>
  <c r="Q33" i="21"/>
  <c r="P33" i="21"/>
  <c r="K33" i="21"/>
  <c r="J33" i="21"/>
  <c r="M33" i="21"/>
  <c r="N33" i="21"/>
  <c r="E33" i="21"/>
  <c r="D33" i="21"/>
  <c r="T33" i="21"/>
  <c r="S33" i="21"/>
  <c r="X33" i="20"/>
  <c r="X34" i="20" s="1"/>
  <c r="Y33" i="20"/>
  <c r="Y34" i="20" s="1"/>
  <c r="C17" i="4" s="1"/>
  <c r="X33" i="18"/>
  <c r="X34" i="18" s="1"/>
  <c r="B16" i="4" s="1"/>
  <c r="Y33" i="18"/>
  <c r="Y34" i="18" s="1"/>
  <c r="C16" i="4" s="1"/>
  <c r="I30" i="9"/>
  <c r="F30" i="9"/>
  <c r="L30" i="9"/>
  <c r="O30" i="9"/>
  <c r="W28" i="9"/>
  <c r="U29" i="9"/>
  <c r="T29" i="9"/>
  <c r="S29" i="9"/>
  <c r="X28" i="9"/>
  <c r="K29" i="9"/>
  <c r="J29" i="9"/>
  <c r="M29" i="9"/>
  <c r="R30" i="9"/>
  <c r="N29" i="9"/>
  <c r="H29" i="9"/>
  <c r="G29" i="9"/>
  <c r="Q29" i="9"/>
  <c r="C30" i="9"/>
  <c r="B30" i="9"/>
  <c r="E29" i="9"/>
  <c r="D29" i="9"/>
  <c r="O29" i="8"/>
  <c r="P29" i="8" s="1"/>
  <c r="L29" i="8"/>
  <c r="R30" i="8" s="1"/>
  <c r="F29" i="8" a="1"/>
  <c r="F29" i="8" s="1"/>
  <c r="I29" i="8" a="1"/>
  <c r="I29" i="8" s="1"/>
  <c r="Q28" i="8"/>
  <c r="N28" i="8"/>
  <c r="M28" i="8"/>
  <c r="B29" i="8"/>
  <c r="C29" i="8"/>
  <c r="E28" i="8"/>
  <c r="D28" i="8"/>
  <c r="X27" i="8"/>
  <c r="K28" i="8"/>
  <c r="J28" i="8"/>
  <c r="U28" i="8"/>
  <c r="T28" i="8"/>
  <c r="S28" i="8"/>
  <c r="H28" i="8"/>
  <c r="G28" i="8"/>
  <c r="W27" i="8"/>
  <c r="B17" i="4" l="1"/>
  <c r="C4" i="10"/>
  <c r="C5" i="4"/>
  <c r="C12" i="4"/>
  <c r="C3" i="4"/>
  <c r="C10" i="4"/>
  <c r="B5" i="4"/>
  <c r="B12" i="4"/>
  <c r="B3" i="4"/>
  <c r="B10" i="4"/>
  <c r="X33" i="22"/>
  <c r="X34" i="22" s="1"/>
  <c r="B6" i="4" s="1"/>
  <c r="Y33" i="22"/>
  <c r="Y34" i="22" s="1"/>
  <c r="C6" i="4" s="1"/>
  <c r="Y33" i="21"/>
  <c r="Y34" i="21" s="1"/>
  <c r="X33" i="21"/>
  <c r="X34" i="21" s="1"/>
  <c r="L31" i="9"/>
  <c r="F31" i="9"/>
  <c r="I31" i="9"/>
  <c r="O31" i="9"/>
  <c r="P31" i="9" s="1"/>
  <c r="P30" i="9"/>
  <c r="L30" i="8"/>
  <c r="R31" i="8" s="1"/>
  <c r="W29" i="9"/>
  <c r="U30" i="9"/>
  <c r="T30" i="9"/>
  <c r="S30" i="9"/>
  <c r="F30" i="8" a="1"/>
  <c r="F30" i="8" s="1"/>
  <c r="M30" i="9"/>
  <c r="R31" i="9"/>
  <c r="N30" i="9"/>
  <c r="K30" i="9"/>
  <c r="J30" i="9"/>
  <c r="C31" i="9"/>
  <c r="B31" i="9"/>
  <c r="E30" i="9"/>
  <c r="D30" i="9"/>
  <c r="H30" i="9"/>
  <c r="G30" i="9"/>
  <c r="X29" i="9"/>
  <c r="Q30" i="9"/>
  <c r="O30" i="8"/>
  <c r="I30" i="8" a="1"/>
  <c r="I30" i="8" s="1"/>
  <c r="W28" i="8"/>
  <c r="E29" i="8"/>
  <c r="D29" i="8"/>
  <c r="C30" i="8"/>
  <c r="B30" i="8"/>
  <c r="S29" i="8"/>
  <c r="U29" i="8"/>
  <c r="T29" i="8"/>
  <c r="K29" i="8"/>
  <c r="J29" i="8"/>
  <c r="Q29" i="8"/>
  <c r="G29" i="8"/>
  <c r="H29" i="8"/>
  <c r="N29" i="8"/>
  <c r="M29" i="8"/>
  <c r="X28" i="8"/>
  <c r="C4" i="4" l="1"/>
  <c r="C11" i="4"/>
  <c r="B4" i="4"/>
  <c r="B11" i="4"/>
  <c r="L32" i="9"/>
  <c r="O32" i="9"/>
  <c r="P32" i="9" s="1"/>
  <c r="F32" i="9"/>
  <c r="I32" i="9"/>
  <c r="I31" i="8" a="1"/>
  <c r="I31" i="8" s="1"/>
  <c r="P30" i="8"/>
  <c r="U31" i="9"/>
  <c r="T31" i="9"/>
  <c r="S31" i="9"/>
  <c r="M31" i="9"/>
  <c r="R32" i="9"/>
  <c r="N31" i="9"/>
  <c r="W30" i="9"/>
  <c r="H31" i="9"/>
  <c r="G31" i="9"/>
  <c r="C32" i="9"/>
  <c r="B32" i="9"/>
  <c r="E31" i="9"/>
  <c r="D31" i="9"/>
  <c r="X30" i="9"/>
  <c r="K31" i="9"/>
  <c r="J31" i="9"/>
  <c r="Q31" i="9"/>
  <c r="L31" i="8"/>
  <c r="R32" i="8" s="1"/>
  <c r="O31" i="8"/>
  <c r="P31" i="8" s="1"/>
  <c r="F31" i="8" a="1"/>
  <c r="F31" i="8" s="1"/>
  <c r="W29" i="8"/>
  <c r="N30" i="8"/>
  <c r="M30" i="8"/>
  <c r="D30" i="8"/>
  <c r="E30" i="8"/>
  <c r="C31" i="8"/>
  <c r="B31" i="8"/>
  <c r="K30" i="8"/>
  <c r="J30" i="8"/>
  <c r="Q30" i="8"/>
  <c r="G30" i="8"/>
  <c r="H30" i="8"/>
  <c r="S30" i="8"/>
  <c r="U30" i="8"/>
  <c r="T30" i="8"/>
  <c r="X29" i="8"/>
  <c r="E11" i="4" l="1"/>
  <c r="E12" i="4"/>
  <c r="D12" i="4"/>
  <c r="D11" i="4"/>
  <c r="F11" i="4" s="1"/>
  <c r="F33" i="9"/>
  <c r="L33" i="9"/>
  <c r="L32" i="8"/>
  <c r="R33" i="8" s="1"/>
  <c r="O32" i="8"/>
  <c r="P32" i="8" s="1"/>
  <c r="O33" i="9"/>
  <c r="P33" i="9" s="1"/>
  <c r="I33" i="9"/>
  <c r="Q32" i="9"/>
  <c r="W31" i="9"/>
  <c r="U32" i="9"/>
  <c r="T32" i="9"/>
  <c r="S32" i="9"/>
  <c r="I32" i="8" a="1"/>
  <c r="I32" i="8" s="1"/>
  <c r="X31" i="9"/>
  <c r="C33" i="9"/>
  <c r="B33" i="9"/>
  <c r="E32" i="9"/>
  <c r="D32" i="9"/>
  <c r="H32" i="9"/>
  <c r="G32" i="9"/>
  <c r="K32" i="9"/>
  <c r="J32" i="9"/>
  <c r="F32" i="8" a="1"/>
  <c r="F32" i="8" s="1"/>
  <c r="M32" i="9"/>
  <c r="R33" i="9"/>
  <c r="N32" i="9"/>
  <c r="X30" i="8"/>
  <c r="W30" i="8"/>
  <c r="H31" i="8"/>
  <c r="G31" i="8"/>
  <c r="N31" i="8"/>
  <c r="M31" i="8"/>
  <c r="K31" i="8"/>
  <c r="J31" i="8"/>
  <c r="E31" i="8"/>
  <c r="D31" i="8"/>
  <c r="B32" i="8"/>
  <c r="C32" i="8"/>
  <c r="Q31" i="8"/>
  <c r="U31" i="8"/>
  <c r="T31" i="8"/>
  <c r="S31" i="8"/>
  <c r="F12" i="4" l="1"/>
  <c r="L33" i="8"/>
  <c r="I33" i="8" a="1"/>
  <c r="I33" i="8" s="1"/>
  <c r="U33" i="9"/>
  <c r="T33" i="9"/>
  <c r="S33" i="9"/>
  <c r="F33" i="8" a="1"/>
  <c r="F33" i="8" s="1"/>
  <c r="M33" i="9"/>
  <c r="N33" i="9"/>
  <c r="W32" i="9"/>
  <c r="E33" i="9"/>
  <c r="D33" i="9"/>
  <c r="Q33" i="9"/>
  <c r="X32" i="9"/>
  <c r="O33" i="8"/>
  <c r="P33" i="8" s="1"/>
  <c r="H33" i="9"/>
  <c r="G33" i="9"/>
  <c r="K33" i="9"/>
  <c r="J33" i="9"/>
  <c r="X31" i="8"/>
  <c r="U32" i="8"/>
  <c r="T32" i="8"/>
  <c r="S32" i="8"/>
  <c r="M32" i="8"/>
  <c r="N32" i="8"/>
  <c r="K32" i="8"/>
  <c r="J32" i="8"/>
  <c r="E32" i="8"/>
  <c r="D32" i="8"/>
  <c r="C33" i="8"/>
  <c r="B33" i="8"/>
  <c r="Q32" i="8"/>
  <c r="W31" i="8"/>
  <c r="H32" i="8"/>
  <c r="G32" i="8"/>
  <c r="X33" i="9" l="1"/>
  <c r="X34" i="9" s="1"/>
  <c r="W33" i="9"/>
  <c r="W34" i="9" s="1"/>
  <c r="X32" i="8"/>
  <c r="H33" i="8"/>
  <c r="G33" i="8"/>
  <c r="M33" i="8"/>
  <c r="N33" i="8"/>
  <c r="K33" i="8"/>
  <c r="J33" i="8"/>
  <c r="D33" i="8"/>
  <c r="E33" i="8"/>
  <c r="Q33" i="8"/>
  <c r="U33" i="8"/>
  <c r="T33" i="8"/>
  <c r="S33" i="8"/>
  <c r="W32" i="8"/>
  <c r="X33" i="8" l="1"/>
  <c r="X34" i="8" s="1"/>
  <c r="W33" i="8"/>
  <c r="W34" i="8" s="1"/>
  <c r="R4" i="3" l="1"/>
  <c r="B3" i="3"/>
  <c r="O4" i="3"/>
  <c r="R4" i="6"/>
  <c r="B3" i="6"/>
  <c r="C3" i="6" s="1"/>
  <c r="E3" i="6" s="1"/>
  <c r="X3" i="6" s="1"/>
  <c r="W3" i="6"/>
  <c r="W3" i="3"/>
  <c r="Q4" i="3" l="1"/>
  <c r="P4" i="3"/>
  <c r="T4" i="6"/>
  <c r="S4" i="6"/>
  <c r="S4" i="3"/>
  <c r="T4" i="3"/>
  <c r="F4" i="6"/>
  <c r="I4" i="6"/>
  <c r="C4" i="6"/>
  <c r="B4" i="6"/>
  <c r="C3" i="3"/>
  <c r="E3" i="3" s="1"/>
  <c r="X3" i="3" s="1"/>
  <c r="U3" i="6"/>
  <c r="L4" i="6"/>
  <c r="E4" i="6" l="1"/>
  <c r="D4" i="6"/>
  <c r="H4" i="6"/>
  <c r="G4" i="6"/>
  <c r="K4" i="6"/>
  <c r="J4" i="6"/>
  <c r="N4" i="6"/>
  <c r="M4" i="6"/>
  <c r="O5" i="6"/>
  <c r="L5" i="6"/>
  <c r="I5" i="6"/>
  <c r="F5" i="6"/>
  <c r="F4" i="3"/>
  <c r="G4" i="3" s="1"/>
  <c r="C4" i="3"/>
  <c r="I4" i="3"/>
  <c r="L4" i="3"/>
  <c r="B4" i="3"/>
  <c r="U3" i="3"/>
  <c r="C5" i="6"/>
  <c r="B5" i="6"/>
  <c r="U4" i="6"/>
  <c r="R5" i="6"/>
  <c r="N5" i="6" l="1"/>
  <c r="M5" i="6"/>
  <c r="K5" i="6"/>
  <c r="J5" i="6"/>
  <c r="T5" i="6"/>
  <c r="S5" i="6"/>
  <c r="H5" i="6"/>
  <c r="G5" i="6"/>
  <c r="M4" i="3"/>
  <c r="N4" i="3"/>
  <c r="Q5" i="6"/>
  <c r="P5" i="6"/>
  <c r="D5" i="6"/>
  <c r="E5" i="6"/>
  <c r="E4" i="3"/>
  <c r="D4" i="3"/>
  <c r="K4" i="3"/>
  <c r="J4" i="3"/>
  <c r="H4" i="3"/>
  <c r="I6" i="6"/>
  <c r="F6" i="6"/>
  <c r="L6" i="6"/>
  <c r="O6" i="6"/>
  <c r="U4" i="3"/>
  <c r="X4" i="6"/>
  <c r="R5" i="3"/>
  <c r="W4" i="6"/>
  <c r="I5" i="3"/>
  <c r="L5" i="3"/>
  <c r="C5" i="3"/>
  <c r="F5" i="3"/>
  <c r="B5" i="3"/>
  <c r="O5" i="3"/>
  <c r="C6" i="6"/>
  <c r="B6" i="6"/>
  <c r="R6" i="6"/>
  <c r="U5" i="6"/>
  <c r="K6" i="6" l="1"/>
  <c r="J6" i="6"/>
  <c r="F7" i="6"/>
  <c r="D6" i="6"/>
  <c r="E6" i="6"/>
  <c r="H6" i="6"/>
  <c r="G6" i="6"/>
  <c r="D5" i="3"/>
  <c r="E5" i="3"/>
  <c r="G5" i="3"/>
  <c r="H5" i="3"/>
  <c r="Q6" i="6"/>
  <c r="P6" i="6"/>
  <c r="M5" i="3"/>
  <c r="N5" i="3"/>
  <c r="S5" i="3"/>
  <c r="T5" i="3"/>
  <c r="N6" i="6"/>
  <c r="M6" i="6"/>
  <c r="J5" i="3"/>
  <c r="K5" i="3"/>
  <c r="P5" i="3"/>
  <c r="Q5" i="3"/>
  <c r="T6" i="6"/>
  <c r="S6" i="6"/>
  <c r="O7" i="6"/>
  <c r="L7" i="6"/>
  <c r="I7" i="6"/>
  <c r="X4" i="3"/>
  <c r="B6" i="3"/>
  <c r="L6" i="3"/>
  <c r="C6" i="3"/>
  <c r="F6" i="3"/>
  <c r="I6" i="3"/>
  <c r="W4" i="3"/>
  <c r="R6" i="3"/>
  <c r="O6" i="3"/>
  <c r="U5" i="3"/>
  <c r="U6" i="6"/>
  <c r="W5" i="6"/>
  <c r="R7" i="6"/>
  <c r="X5" i="6"/>
  <c r="C7" i="6"/>
  <c r="B7" i="6"/>
  <c r="F8" i="6" l="1"/>
  <c r="H8" i="6" s="1"/>
  <c r="S6" i="3"/>
  <c r="T6" i="3"/>
  <c r="G6" i="3"/>
  <c r="H6" i="3"/>
  <c r="M6" i="3"/>
  <c r="N6" i="3"/>
  <c r="T7" i="6"/>
  <c r="S7" i="6"/>
  <c r="J6" i="3"/>
  <c r="K6" i="3"/>
  <c r="N7" i="6"/>
  <c r="M7" i="6"/>
  <c r="H7" i="6"/>
  <c r="G7" i="6"/>
  <c r="D6" i="3"/>
  <c r="E6" i="3"/>
  <c r="O8" i="6"/>
  <c r="J7" i="6"/>
  <c r="K7" i="6"/>
  <c r="Q7" i="6"/>
  <c r="P7" i="6"/>
  <c r="D7" i="6"/>
  <c r="E7" i="6"/>
  <c r="P6" i="3"/>
  <c r="Q6" i="3"/>
  <c r="I8" i="6"/>
  <c r="L8" i="6"/>
  <c r="U6" i="3"/>
  <c r="W5" i="3"/>
  <c r="O7" i="3"/>
  <c r="F7" i="3"/>
  <c r="B7" i="3"/>
  <c r="I7" i="3"/>
  <c r="L7" i="3"/>
  <c r="C7" i="3"/>
  <c r="R7" i="3"/>
  <c r="X5" i="3"/>
  <c r="W6" i="6"/>
  <c r="U7" i="6"/>
  <c r="X6" i="6"/>
  <c r="C8" i="6"/>
  <c r="B8" i="6"/>
  <c r="R8" i="6"/>
  <c r="G8" i="6" l="1"/>
  <c r="M7" i="3"/>
  <c r="N7" i="3"/>
  <c r="T8" i="6"/>
  <c r="S8" i="6"/>
  <c r="J7" i="3"/>
  <c r="K7" i="3"/>
  <c r="P7" i="3"/>
  <c r="Q7" i="3"/>
  <c r="G7" i="3"/>
  <c r="H7" i="3"/>
  <c r="K8" i="6"/>
  <c r="J8" i="6"/>
  <c r="Q8" i="6"/>
  <c r="P8" i="6"/>
  <c r="S7" i="3"/>
  <c r="T7" i="3"/>
  <c r="I9" i="6"/>
  <c r="E8" i="6"/>
  <c r="D8" i="6"/>
  <c r="M8" i="6"/>
  <c r="N8" i="6"/>
  <c r="D7" i="3"/>
  <c r="E7" i="3"/>
  <c r="F9" i="6"/>
  <c r="L9" i="6"/>
  <c r="O9" i="6"/>
  <c r="X6" i="3"/>
  <c r="U7" i="3"/>
  <c r="W6" i="3"/>
  <c r="O8" i="3"/>
  <c r="R8" i="3"/>
  <c r="C8" i="3"/>
  <c r="I8" i="3"/>
  <c r="L8" i="3"/>
  <c r="F8" i="3"/>
  <c r="B8" i="3"/>
  <c r="X7" i="6"/>
  <c r="U8" i="6"/>
  <c r="W7" i="6"/>
  <c r="C9" i="6"/>
  <c r="B9" i="6"/>
  <c r="R9" i="6"/>
  <c r="I10" i="6" l="1"/>
  <c r="K10" i="6" s="1"/>
  <c r="J8" i="3"/>
  <c r="K8" i="3"/>
  <c r="M8" i="3"/>
  <c r="N8" i="3"/>
  <c r="H9" i="6"/>
  <c r="G9" i="6"/>
  <c r="S8" i="3"/>
  <c r="T8" i="3"/>
  <c r="D8" i="3"/>
  <c r="E8" i="3"/>
  <c r="K9" i="6"/>
  <c r="J9" i="6"/>
  <c r="G8" i="3"/>
  <c r="H8" i="3"/>
  <c r="P8" i="3"/>
  <c r="Q8" i="3"/>
  <c r="L10" i="6"/>
  <c r="E9" i="6"/>
  <c r="D9" i="6"/>
  <c r="Q9" i="6"/>
  <c r="P9" i="6"/>
  <c r="T9" i="6"/>
  <c r="S9" i="6"/>
  <c r="N9" i="6"/>
  <c r="M9" i="6"/>
  <c r="O10" i="6"/>
  <c r="F10" i="6"/>
  <c r="X7" i="3"/>
  <c r="O9" i="3"/>
  <c r="U8" i="3"/>
  <c r="R9" i="3"/>
  <c r="F9" i="3"/>
  <c r="B9" i="3"/>
  <c r="C9" i="3"/>
  <c r="I9" i="3"/>
  <c r="L9" i="3"/>
  <c r="W7" i="3"/>
  <c r="U9" i="6"/>
  <c r="W8" i="6"/>
  <c r="X8" i="6"/>
  <c r="R10" i="6"/>
  <c r="C10" i="6"/>
  <c r="B10" i="6"/>
  <c r="F11" i="6" l="1"/>
  <c r="G11" i="6" s="1"/>
  <c r="J10" i="6"/>
  <c r="N10" i="6"/>
  <c r="M10" i="6"/>
  <c r="D9" i="3"/>
  <c r="E9" i="3"/>
  <c r="G9" i="3"/>
  <c r="H9" i="3"/>
  <c r="T10" i="6"/>
  <c r="S10" i="6"/>
  <c r="O11" i="6"/>
  <c r="H10" i="6"/>
  <c r="G10" i="6"/>
  <c r="S9" i="3"/>
  <c r="T9" i="3"/>
  <c r="Q10" i="6"/>
  <c r="P10" i="6"/>
  <c r="M9" i="3"/>
  <c r="N9" i="3"/>
  <c r="L11" i="6"/>
  <c r="D10" i="6"/>
  <c r="E10" i="6"/>
  <c r="P9" i="3"/>
  <c r="Q9" i="3"/>
  <c r="J9" i="3"/>
  <c r="K9" i="3"/>
  <c r="I11" i="6"/>
  <c r="X8" i="3"/>
  <c r="U9" i="3"/>
  <c r="W8" i="3"/>
  <c r="R10" i="3"/>
  <c r="I10" i="3"/>
  <c r="L10" i="3"/>
  <c r="C10" i="3"/>
  <c r="F10" i="3"/>
  <c r="B10" i="3"/>
  <c r="O10" i="3"/>
  <c r="W9" i="6"/>
  <c r="X9" i="6"/>
  <c r="U10" i="6"/>
  <c r="R11" i="6"/>
  <c r="C11" i="6"/>
  <c r="B11" i="6"/>
  <c r="H11" i="6" l="1"/>
  <c r="D10" i="3"/>
  <c r="E10" i="3"/>
  <c r="P11" i="6"/>
  <c r="Q11" i="6"/>
  <c r="S10" i="3"/>
  <c r="T10" i="3"/>
  <c r="H10" i="3"/>
  <c r="G10" i="3"/>
  <c r="M11" i="6"/>
  <c r="N11" i="6"/>
  <c r="I12" i="6"/>
  <c r="D11" i="6"/>
  <c r="E11" i="6"/>
  <c r="S11" i="6"/>
  <c r="T11" i="6"/>
  <c r="M10" i="3"/>
  <c r="N10" i="3"/>
  <c r="J11" i="6"/>
  <c r="K11" i="6"/>
  <c r="J10" i="3"/>
  <c r="K10" i="3"/>
  <c r="P10" i="3"/>
  <c r="Q10" i="3"/>
  <c r="L12" i="6"/>
  <c r="F12" i="6"/>
  <c r="O12" i="6"/>
  <c r="X9" i="3"/>
  <c r="O11" i="3"/>
  <c r="C11" i="3"/>
  <c r="B11" i="3"/>
  <c r="I11" i="3"/>
  <c r="F11" i="3"/>
  <c r="L11" i="3"/>
  <c r="W9" i="3"/>
  <c r="U10" i="3"/>
  <c r="R11" i="3"/>
  <c r="R12" i="6"/>
  <c r="C12" i="6"/>
  <c r="B12" i="6"/>
  <c r="X10" i="6"/>
  <c r="U11" i="6"/>
  <c r="W10" i="6"/>
  <c r="S11" i="3" l="1"/>
  <c r="T11" i="3"/>
  <c r="M12" i="6"/>
  <c r="N12" i="6"/>
  <c r="D11" i="3"/>
  <c r="E11" i="3"/>
  <c r="M11" i="3"/>
  <c r="N11" i="3"/>
  <c r="J12" i="6"/>
  <c r="K12" i="6"/>
  <c r="J11" i="3"/>
  <c r="K11" i="3"/>
  <c r="Q12" i="6"/>
  <c r="P12" i="6"/>
  <c r="G11" i="3"/>
  <c r="H11" i="3"/>
  <c r="P11" i="3"/>
  <c r="Q11" i="3"/>
  <c r="L13" i="6"/>
  <c r="E12" i="6"/>
  <c r="D12" i="6"/>
  <c r="S12" i="6"/>
  <c r="T12" i="6"/>
  <c r="H12" i="6"/>
  <c r="G12" i="6"/>
  <c r="O13" i="6"/>
  <c r="F13" i="6"/>
  <c r="I13" i="6"/>
  <c r="X10" i="3"/>
  <c r="W10" i="3"/>
  <c r="R12" i="3"/>
  <c r="O12" i="3"/>
  <c r="F12" i="3"/>
  <c r="L12" i="3"/>
  <c r="B12" i="3"/>
  <c r="I12" i="3"/>
  <c r="C12" i="3"/>
  <c r="U11" i="3"/>
  <c r="R13" i="6"/>
  <c r="W11" i="6"/>
  <c r="U12" i="6"/>
  <c r="C13" i="6"/>
  <c r="B13" i="6"/>
  <c r="X11" i="6"/>
  <c r="M12" i="3" l="1"/>
  <c r="N12" i="3"/>
  <c r="P12" i="3"/>
  <c r="Q12" i="3"/>
  <c r="J12" i="3"/>
  <c r="K12" i="3"/>
  <c r="F14" i="6"/>
  <c r="E13" i="6"/>
  <c r="D13" i="6"/>
  <c r="M13" i="6"/>
  <c r="N13" i="6"/>
  <c r="T13" i="6"/>
  <c r="S13" i="6"/>
  <c r="G12" i="3"/>
  <c r="H12" i="3"/>
  <c r="S12" i="3"/>
  <c r="T12" i="3"/>
  <c r="J13" i="6"/>
  <c r="K13" i="6"/>
  <c r="G13" i="6"/>
  <c r="H13" i="6"/>
  <c r="P13" i="6"/>
  <c r="Q13" i="6"/>
  <c r="D12" i="3"/>
  <c r="E12" i="3"/>
  <c r="L14" i="6"/>
  <c r="I14" i="6"/>
  <c r="O14" i="6"/>
  <c r="X11" i="3"/>
  <c r="R13" i="3"/>
  <c r="O13" i="3"/>
  <c r="W11" i="3"/>
  <c r="U12" i="3"/>
  <c r="B13" i="3"/>
  <c r="L13" i="3"/>
  <c r="C13" i="3"/>
  <c r="F13" i="3"/>
  <c r="I13" i="3"/>
  <c r="C14" i="6"/>
  <c r="B14" i="6"/>
  <c r="R14" i="6"/>
  <c r="W12" i="6"/>
  <c r="U13" i="6"/>
  <c r="X12" i="6"/>
  <c r="D13" i="3" l="1"/>
  <c r="E13" i="3"/>
  <c r="G14" i="6"/>
  <c r="H14" i="6"/>
  <c r="M13" i="3"/>
  <c r="N13" i="3"/>
  <c r="P14" i="6"/>
  <c r="Q14" i="6"/>
  <c r="S13" i="3"/>
  <c r="T13" i="3"/>
  <c r="J14" i="6"/>
  <c r="K14" i="6"/>
  <c r="S14" i="6"/>
  <c r="T14" i="6"/>
  <c r="J13" i="3"/>
  <c r="K13" i="3"/>
  <c r="M14" i="6"/>
  <c r="N14" i="6"/>
  <c r="P13" i="3"/>
  <c r="Q13" i="3"/>
  <c r="E14" i="6"/>
  <c r="D14" i="6"/>
  <c r="G13" i="3"/>
  <c r="H13" i="3"/>
  <c r="L15" i="6"/>
  <c r="F15" i="6"/>
  <c r="O15" i="6"/>
  <c r="I15" i="6"/>
  <c r="L14" i="3"/>
  <c r="C14" i="3"/>
  <c r="B14" i="3"/>
  <c r="F14" i="3"/>
  <c r="I14" i="3"/>
  <c r="R14" i="3"/>
  <c r="O14" i="3"/>
  <c r="X12" i="3"/>
  <c r="W12" i="3"/>
  <c r="U13" i="3"/>
  <c r="X13" i="6"/>
  <c r="W13" i="6"/>
  <c r="U14" i="6"/>
  <c r="R15" i="6"/>
  <c r="C15" i="6"/>
  <c r="B15" i="6"/>
  <c r="J14" i="3" l="1"/>
  <c r="K14" i="3"/>
  <c r="G14" i="3"/>
  <c r="H14" i="3"/>
  <c r="S14" i="3"/>
  <c r="T14" i="3"/>
  <c r="F16" i="6"/>
  <c r="E15" i="6"/>
  <c r="D15" i="6"/>
  <c r="S15" i="6"/>
  <c r="T15" i="6"/>
  <c r="M14" i="3"/>
  <c r="N14" i="3"/>
  <c r="J15" i="6"/>
  <c r="K15" i="6"/>
  <c r="G15" i="6"/>
  <c r="H15" i="6"/>
  <c r="P14" i="3"/>
  <c r="Q14" i="3"/>
  <c r="D14" i="3"/>
  <c r="E14" i="3"/>
  <c r="P15" i="6"/>
  <c r="Q15" i="6"/>
  <c r="M15" i="6"/>
  <c r="N15" i="6"/>
  <c r="L16" i="6"/>
  <c r="O16" i="6"/>
  <c r="I16" i="6"/>
  <c r="W13" i="3"/>
  <c r="B15" i="3"/>
  <c r="I15" i="3"/>
  <c r="L15" i="3"/>
  <c r="C15" i="3"/>
  <c r="F15" i="3"/>
  <c r="U14" i="3"/>
  <c r="X13" i="3"/>
  <c r="O15" i="3"/>
  <c r="R15" i="3"/>
  <c r="X14" i="6"/>
  <c r="W14" i="6"/>
  <c r="U15" i="6"/>
  <c r="C16" i="6"/>
  <c r="B16" i="6"/>
  <c r="R16" i="6"/>
  <c r="G15" i="3" l="1"/>
  <c r="H15" i="3"/>
  <c r="G16" i="6"/>
  <c r="H16" i="6"/>
  <c r="D15" i="3"/>
  <c r="E15" i="3"/>
  <c r="F17" i="6"/>
  <c r="E16" i="6"/>
  <c r="D16" i="6"/>
  <c r="M15" i="3"/>
  <c r="N15" i="3"/>
  <c r="J15" i="3"/>
  <c r="K15" i="3"/>
  <c r="S15" i="3"/>
  <c r="T15" i="3"/>
  <c r="M16" i="6"/>
  <c r="N16" i="6"/>
  <c r="S16" i="6"/>
  <c r="T16" i="6"/>
  <c r="J16" i="6"/>
  <c r="K16" i="6"/>
  <c r="P16" i="6"/>
  <c r="Q16" i="6"/>
  <c r="P15" i="3"/>
  <c r="Q15" i="3"/>
  <c r="L17" i="6"/>
  <c r="I17" i="6"/>
  <c r="O17" i="6"/>
  <c r="O16" i="3"/>
  <c r="X14" i="3"/>
  <c r="U15" i="3"/>
  <c r="W14" i="3"/>
  <c r="I16" i="3"/>
  <c r="L16" i="3"/>
  <c r="F16" i="3"/>
  <c r="B16" i="3"/>
  <c r="C16" i="3"/>
  <c r="R16" i="3"/>
  <c r="X15" i="6"/>
  <c r="R17" i="6"/>
  <c r="U16" i="6"/>
  <c r="W15" i="6"/>
  <c r="C17" i="6"/>
  <c r="B17" i="6"/>
  <c r="M16" i="3" l="1"/>
  <c r="N16" i="3"/>
  <c r="G16" i="3"/>
  <c r="H16" i="3"/>
  <c r="H17" i="6"/>
  <c r="G17" i="6"/>
  <c r="Q17" i="6"/>
  <c r="P17" i="6"/>
  <c r="K16" i="3"/>
  <c r="J16" i="3"/>
  <c r="D17" i="6"/>
  <c r="E17" i="6"/>
  <c r="P16" i="3"/>
  <c r="Q16" i="3"/>
  <c r="T17" i="6"/>
  <c r="S17" i="6"/>
  <c r="K17" i="6"/>
  <c r="J17" i="6"/>
  <c r="N17" i="6"/>
  <c r="M17" i="6"/>
  <c r="S16" i="3"/>
  <c r="T16" i="3"/>
  <c r="E16" i="3"/>
  <c r="D16" i="3"/>
  <c r="X15" i="3"/>
  <c r="L18" i="6"/>
  <c r="F18" i="6"/>
  <c r="O18" i="6"/>
  <c r="I18" i="6"/>
  <c r="R17" i="3"/>
  <c r="U16" i="3"/>
  <c r="O17" i="3"/>
  <c r="W15" i="3"/>
  <c r="F17" i="3"/>
  <c r="I17" i="3"/>
  <c r="B17" i="3"/>
  <c r="L17" i="3"/>
  <c r="C17" i="3"/>
  <c r="X16" i="6"/>
  <c r="W16" i="6"/>
  <c r="R18" i="6"/>
  <c r="C18" i="6"/>
  <c r="B18" i="6"/>
  <c r="U17" i="6"/>
  <c r="G17" i="3" l="1"/>
  <c r="H17" i="3"/>
  <c r="J17" i="3"/>
  <c r="K17" i="3"/>
  <c r="P17" i="3"/>
  <c r="Q17" i="3"/>
  <c r="I19" i="6"/>
  <c r="D18" i="6"/>
  <c r="E18" i="6"/>
  <c r="T18" i="6"/>
  <c r="S18" i="6"/>
  <c r="Q18" i="6"/>
  <c r="P18" i="6"/>
  <c r="H18" i="6"/>
  <c r="G18" i="6"/>
  <c r="K18" i="6"/>
  <c r="J18" i="6"/>
  <c r="D17" i="3"/>
  <c r="E17" i="3"/>
  <c r="S17" i="3"/>
  <c r="T17" i="3"/>
  <c r="M18" i="6"/>
  <c r="N18" i="6"/>
  <c r="M17" i="3"/>
  <c r="N17" i="3"/>
  <c r="F19" i="6"/>
  <c r="L19" i="6"/>
  <c r="O19" i="6"/>
  <c r="F18" i="3"/>
  <c r="B18" i="3"/>
  <c r="I18" i="3"/>
  <c r="L18" i="3"/>
  <c r="C18" i="3"/>
  <c r="R18" i="3"/>
  <c r="W16" i="3"/>
  <c r="X16" i="3"/>
  <c r="U17" i="3"/>
  <c r="O18" i="3"/>
  <c r="W17" i="6"/>
  <c r="U18" i="6"/>
  <c r="R19" i="6"/>
  <c r="C19" i="6"/>
  <c r="B19" i="6"/>
  <c r="X17" i="6"/>
  <c r="K19" i="6" l="1"/>
  <c r="J19" i="6"/>
  <c r="S18" i="3"/>
  <c r="T18" i="3"/>
  <c r="M18" i="3"/>
  <c r="N18" i="3"/>
  <c r="T19" i="6"/>
  <c r="S19" i="6"/>
  <c r="L20" i="6"/>
  <c r="D19" i="6"/>
  <c r="E19" i="6"/>
  <c r="P19" i="6"/>
  <c r="Q19" i="6"/>
  <c r="J18" i="3"/>
  <c r="K18" i="3"/>
  <c r="G18" i="3"/>
  <c r="H18" i="3"/>
  <c r="P18" i="3"/>
  <c r="Q18" i="3"/>
  <c r="G19" i="6"/>
  <c r="H19" i="6"/>
  <c r="D18" i="3"/>
  <c r="E18" i="3"/>
  <c r="N19" i="6"/>
  <c r="M19" i="6"/>
  <c r="F20" i="6"/>
  <c r="O20" i="6"/>
  <c r="I20" i="6"/>
  <c r="U18" i="3"/>
  <c r="W17" i="3"/>
  <c r="X17" i="3"/>
  <c r="B19" i="3"/>
  <c r="F19" i="3"/>
  <c r="C19" i="3"/>
  <c r="I19" i="3"/>
  <c r="L19" i="3"/>
  <c r="R19" i="3"/>
  <c r="O19" i="3"/>
  <c r="W18" i="6"/>
  <c r="X18" i="6"/>
  <c r="U19" i="6"/>
  <c r="R20" i="6"/>
  <c r="C20" i="6"/>
  <c r="B20" i="6"/>
  <c r="G19" i="3" l="1"/>
  <c r="H19" i="3"/>
  <c r="M19" i="3"/>
  <c r="N19" i="3"/>
  <c r="D19" i="3"/>
  <c r="E19" i="3"/>
  <c r="J19" i="3"/>
  <c r="K19" i="3"/>
  <c r="N20" i="6"/>
  <c r="M20" i="6"/>
  <c r="O21" i="6"/>
  <c r="K20" i="6"/>
  <c r="J20" i="6"/>
  <c r="P19" i="3"/>
  <c r="Q19" i="3"/>
  <c r="I21" i="6"/>
  <c r="D20" i="6"/>
  <c r="E20" i="6"/>
  <c r="T20" i="6"/>
  <c r="S20" i="6"/>
  <c r="Q20" i="6"/>
  <c r="P20" i="6"/>
  <c r="H20" i="6"/>
  <c r="G20" i="6"/>
  <c r="S19" i="3"/>
  <c r="T19" i="3"/>
  <c r="X18" i="3"/>
  <c r="F21" i="6"/>
  <c r="L21" i="6"/>
  <c r="R20" i="3"/>
  <c r="X19" i="6"/>
  <c r="O20" i="3"/>
  <c r="W18" i="3"/>
  <c r="F20" i="3"/>
  <c r="B20" i="3"/>
  <c r="C20" i="3"/>
  <c r="I20" i="3"/>
  <c r="L20" i="3"/>
  <c r="U19" i="3"/>
  <c r="W19" i="6"/>
  <c r="U20" i="6"/>
  <c r="R21" i="6"/>
  <c r="C21" i="6"/>
  <c r="B21" i="6"/>
  <c r="O22" i="6" l="1"/>
  <c r="Q22" i="6" s="1"/>
  <c r="G20" i="3"/>
  <c r="H20" i="3"/>
  <c r="P20" i="3"/>
  <c r="Q20" i="3"/>
  <c r="K21" i="6"/>
  <c r="J21" i="6"/>
  <c r="Q21" i="6"/>
  <c r="P21" i="6"/>
  <c r="L22" i="6"/>
  <c r="E21" i="6"/>
  <c r="D21" i="6"/>
  <c r="T21" i="6"/>
  <c r="S21" i="6"/>
  <c r="M20" i="3"/>
  <c r="N20" i="3"/>
  <c r="H21" i="6"/>
  <c r="G21" i="6"/>
  <c r="J20" i="3"/>
  <c r="K20" i="3"/>
  <c r="S20" i="3"/>
  <c r="T20" i="3"/>
  <c r="N21" i="6"/>
  <c r="M21" i="6"/>
  <c r="D20" i="3"/>
  <c r="E20" i="3"/>
  <c r="I22" i="6"/>
  <c r="F22" i="6"/>
  <c r="R21" i="3"/>
  <c r="W19" i="3"/>
  <c r="F21" i="3"/>
  <c r="B21" i="3"/>
  <c r="L21" i="3"/>
  <c r="C21" i="3"/>
  <c r="I21" i="3"/>
  <c r="U20" i="3"/>
  <c r="X19" i="3"/>
  <c r="O21" i="3"/>
  <c r="W20" i="6"/>
  <c r="R22" i="6"/>
  <c r="C22" i="6"/>
  <c r="B22" i="6"/>
  <c r="U21" i="6"/>
  <c r="X20" i="6"/>
  <c r="F23" i="6" l="1"/>
  <c r="G23" i="6" s="1"/>
  <c r="P22" i="6"/>
  <c r="M21" i="3"/>
  <c r="N21" i="3"/>
  <c r="J21" i="3"/>
  <c r="K21" i="3"/>
  <c r="D22" i="6"/>
  <c r="E22" i="6"/>
  <c r="O23" i="6"/>
  <c r="H22" i="6"/>
  <c r="G22" i="6"/>
  <c r="P21" i="3"/>
  <c r="Q21" i="3"/>
  <c r="N22" i="6"/>
  <c r="M22" i="6"/>
  <c r="S21" i="3"/>
  <c r="T21" i="3"/>
  <c r="K22" i="6"/>
  <c r="J22" i="6"/>
  <c r="D21" i="3"/>
  <c r="E21" i="3"/>
  <c r="G21" i="3"/>
  <c r="H21" i="3"/>
  <c r="T22" i="6"/>
  <c r="S22" i="6"/>
  <c r="L23" i="6"/>
  <c r="I23" i="6"/>
  <c r="R22" i="3"/>
  <c r="W20" i="3"/>
  <c r="L22" i="3"/>
  <c r="F22" i="3"/>
  <c r="I22" i="3"/>
  <c r="B22" i="3"/>
  <c r="C22" i="3"/>
  <c r="O22" i="3"/>
  <c r="U21" i="3"/>
  <c r="X20" i="3"/>
  <c r="W21" i="6"/>
  <c r="U22" i="6"/>
  <c r="R23" i="6"/>
  <c r="C23" i="6"/>
  <c r="B23" i="6"/>
  <c r="X21" i="6"/>
  <c r="H23" i="6" l="1"/>
  <c r="D22" i="3"/>
  <c r="E22" i="3"/>
  <c r="Q22" i="3"/>
  <c r="P22" i="3"/>
  <c r="K22" i="3"/>
  <c r="J22" i="3"/>
  <c r="T22" i="3"/>
  <c r="S22" i="3"/>
  <c r="P23" i="6"/>
  <c r="Q23" i="6"/>
  <c r="M22" i="3"/>
  <c r="N22" i="3"/>
  <c r="F24" i="6"/>
  <c r="D23" i="6"/>
  <c r="E23" i="6"/>
  <c r="S23" i="6"/>
  <c r="T23" i="6"/>
  <c r="M23" i="6"/>
  <c r="N23" i="6"/>
  <c r="G22" i="3"/>
  <c r="H22" i="3"/>
  <c r="J23" i="6"/>
  <c r="K23" i="6"/>
  <c r="L24" i="6"/>
  <c r="I24" i="6"/>
  <c r="O24" i="6"/>
  <c r="X21" i="3"/>
  <c r="O23" i="3"/>
  <c r="C23" i="3"/>
  <c r="F23" i="3"/>
  <c r="B23" i="3"/>
  <c r="I23" i="3"/>
  <c r="L23" i="3"/>
  <c r="W21" i="3"/>
  <c r="R23" i="3"/>
  <c r="U22" i="3"/>
  <c r="R24" i="6"/>
  <c r="C24" i="6"/>
  <c r="B24" i="6"/>
  <c r="U23" i="6"/>
  <c r="W22" i="6"/>
  <c r="X22" i="6"/>
  <c r="I25" i="6" l="1"/>
  <c r="K25" i="6" s="1"/>
  <c r="J23" i="3"/>
  <c r="K23" i="3"/>
  <c r="M23" i="3"/>
  <c r="N23" i="3"/>
  <c r="P23" i="3"/>
  <c r="Q23" i="3"/>
  <c r="M24" i="6"/>
  <c r="N24" i="6"/>
  <c r="G23" i="3"/>
  <c r="H23" i="3"/>
  <c r="S23" i="3"/>
  <c r="T23" i="3"/>
  <c r="P24" i="6"/>
  <c r="Q24" i="6"/>
  <c r="D23" i="3"/>
  <c r="E23" i="3"/>
  <c r="F25" i="6"/>
  <c r="E24" i="6"/>
  <c r="D24" i="6"/>
  <c r="S24" i="6"/>
  <c r="T24" i="6"/>
  <c r="J24" i="6"/>
  <c r="K24" i="6"/>
  <c r="G24" i="6"/>
  <c r="H24" i="6"/>
  <c r="L25" i="6"/>
  <c r="O25" i="6"/>
  <c r="X22" i="3"/>
  <c r="W22" i="3"/>
  <c r="R24" i="3"/>
  <c r="O24" i="3"/>
  <c r="F24" i="3"/>
  <c r="L24" i="3"/>
  <c r="B24" i="3"/>
  <c r="I24" i="3"/>
  <c r="C24" i="3"/>
  <c r="U23" i="3"/>
  <c r="W23" i="6"/>
  <c r="X23" i="6"/>
  <c r="U24" i="6"/>
  <c r="R25" i="6"/>
  <c r="C25" i="6"/>
  <c r="B25" i="6"/>
  <c r="I26" i="6" l="1"/>
  <c r="J26" i="6" s="1"/>
  <c r="J25" i="6"/>
  <c r="G24" i="3"/>
  <c r="H24" i="3"/>
  <c r="T25" i="6"/>
  <c r="S25" i="6"/>
  <c r="P24" i="3"/>
  <c r="Q24" i="3"/>
  <c r="H25" i="6"/>
  <c r="G25" i="6"/>
  <c r="M24" i="3"/>
  <c r="N24" i="3"/>
  <c r="L26" i="6"/>
  <c r="E25" i="6"/>
  <c r="D25" i="6"/>
  <c r="S24" i="3"/>
  <c r="T24" i="3"/>
  <c r="F26" i="6"/>
  <c r="M25" i="6"/>
  <c r="N25" i="6"/>
  <c r="D24" i="3"/>
  <c r="E24" i="3"/>
  <c r="P25" i="6"/>
  <c r="Q25" i="6"/>
  <c r="J24" i="3"/>
  <c r="K24" i="3"/>
  <c r="O26" i="6"/>
  <c r="O25" i="3"/>
  <c r="R25" i="3"/>
  <c r="W23" i="3"/>
  <c r="X23" i="3"/>
  <c r="C25" i="3"/>
  <c r="B25" i="3"/>
  <c r="I25" i="3"/>
  <c r="L25" i="3"/>
  <c r="F25" i="3"/>
  <c r="U24" i="3"/>
  <c r="W24" i="6"/>
  <c r="U25" i="6"/>
  <c r="X24" i="6"/>
  <c r="R26" i="6"/>
  <c r="C26" i="6"/>
  <c r="B26" i="6"/>
  <c r="K26" i="6" l="1"/>
  <c r="F27" i="6"/>
  <c r="G27" i="6" s="1"/>
  <c r="L27" i="6"/>
  <c r="E26" i="6"/>
  <c r="D26" i="6"/>
  <c r="M25" i="3"/>
  <c r="N25" i="3"/>
  <c r="I27" i="6"/>
  <c r="S25" i="3"/>
  <c r="T25" i="3"/>
  <c r="J25" i="3"/>
  <c r="K25" i="3"/>
  <c r="G26" i="6"/>
  <c r="H26" i="6"/>
  <c r="P26" i="6"/>
  <c r="Q26" i="6"/>
  <c r="D25" i="3"/>
  <c r="E25" i="3"/>
  <c r="S26" i="6"/>
  <c r="T26" i="6"/>
  <c r="O27" i="6"/>
  <c r="P25" i="3"/>
  <c r="Q25" i="3"/>
  <c r="G25" i="3"/>
  <c r="H25" i="3"/>
  <c r="M26" i="6"/>
  <c r="N26" i="6"/>
  <c r="R26" i="3"/>
  <c r="U25" i="3"/>
  <c r="O26" i="3"/>
  <c r="I26" i="3"/>
  <c r="L26" i="3"/>
  <c r="C26" i="3"/>
  <c r="F26" i="3"/>
  <c r="B26" i="3"/>
  <c r="X24" i="3"/>
  <c r="W24" i="3"/>
  <c r="W25" i="6"/>
  <c r="X25" i="6"/>
  <c r="U26" i="6"/>
  <c r="R27" i="6"/>
  <c r="C27" i="6"/>
  <c r="B27" i="6"/>
  <c r="H27" i="6" l="1"/>
  <c r="D26" i="3"/>
  <c r="E26" i="3"/>
  <c r="J27" i="6"/>
  <c r="K27" i="6"/>
  <c r="L28" i="6"/>
  <c r="E27" i="6"/>
  <c r="D27" i="6"/>
  <c r="G26" i="3"/>
  <c r="H26" i="3"/>
  <c r="P27" i="6"/>
  <c r="Q27" i="6"/>
  <c r="J26" i="3"/>
  <c r="K26" i="3"/>
  <c r="O28" i="6"/>
  <c r="M27" i="6"/>
  <c r="N27" i="6"/>
  <c r="M26" i="3"/>
  <c r="N26" i="3"/>
  <c r="S26" i="3"/>
  <c r="T26" i="3"/>
  <c r="P26" i="3"/>
  <c r="Q26" i="3"/>
  <c r="S27" i="6"/>
  <c r="T27" i="6"/>
  <c r="I28" i="6"/>
  <c r="F28" i="6"/>
  <c r="O27" i="3"/>
  <c r="X25" i="3"/>
  <c r="U26" i="3"/>
  <c r="W25" i="3"/>
  <c r="B27" i="3"/>
  <c r="C27" i="3"/>
  <c r="I27" i="3"/>
  <c r="F27" i="3"/>
  <c r="L27" i="3"/>
  <c r="R27" i="3"/>
  <c r="R28" i="6"/>
  <c r="C28" i="6"/>
  <c r="B28" i="6"/>
  <c r="X26" i="6"/>
  <c r="U27" i="6"/>
  <c r="W26" i="6"/>
  <c r="M27" i="3" l="1"/>
  <c r="N27" i="3"/>
  <c r="G27" i="3"/>
  <c r="H27" i="3"/>
  <c r="J27" i="3"/>
  <c r="K27" i="3"/>
  <c r="P27" i="3"/>
  <c r="Q27" i="3"/>
  <c r="S27" i="3"/>
  <c r="T27" i="3"/>
  <c r="D27" i="3"/>
  <c r="E27" i="3"/>
  <c r="M28" i="6"/>
  <c r="N28" i="6"/>
  <c r="F29" i="6"/>
  <c r="E28" i="6"/>
  <c r="D28" i="6"/>
  <c r="O29" i="6"/>
  <c r="G28" i="6"/>
  <c r="H28" i="6"/>
  <c r="P28" i="6"/>
  <c r="Q28" i="6"/>
  <c r="S28" i="6"/>
  <c r="T28" i="6"/>
  <c r="J28" i="6"/>
  <c r="K28" i="6"/>
  <c r="L29" i="6"/>
  <c r="I29" i="6"/>
  <c r="U27" i="3"/>
  <c r="X26" i="3"/>
  <c r="R28" i="3"/>
  <c r="C28" i="3"/>
  <c r="F28" i="3"/>
  <c r="B28" i="3"/>
  <c r="L28" i="3"/>
  <c r="I28" i="3"/>
  <c r="W26" i="3"/>
  <c r="O28" i="3"/>
  <c r="C29" i="6"/>
  <c r="B29" i="6"/>
  <c r="R29" i="6"/>
  <c r="X27" i="6"/>
  <c r="W27" i="6"/>
  <c r="U28" i="6"/>
  <c r="F30" i="6" l="1"/>
  <c r="H30" i="6" s="1"/>
  <c r="H28" i="3"/>
  <c r="G28" i="3"/>
  <c r="M28" i="3"/>
  <c r="N28" i="3"/>
  <c r="K29" i="6"/>
  <c r="J29" i="6"/>
  <c r="J28" i="3"/>
  <c r="K28" i="3"/>
  <c r="N29" i="6"/>
  <c r="M29" i="6"/>
  <c r="H29" i="6"/>
  <c r="G29" i="6"/>
  <c r="Q29" i="6"/>
  <c r="P29" i="6"/>
  <c r="D29" i="6"/>
  <c r="E29" i="6"/>
  <c r="Q28" i="3"/>
  <c r="P28" i="3"/>
  <c r="E28" i="3"/>
  <c r="D28" i="3"/>
  <c r="T28" i="3"/>
  <c r="S28" i="3"/>
  <c r="T29" i="6"/>
  <c r="S29" i="6"/>
  <c r="L30" i="6"/>
  <c r="O30" i="6"/>
  <c r="I30" i="6"/>
  <c r="U28" i="3"/>
  <c r="I29" i="3"/>
  <c r="C29" i="3"/>
  <c r="F29" i="3"/>
  <c r="L29" i="3"/>
  <c r="B29" i="3"/>
  <c r="O29" i="3"/>
  <c r="W27" i="3"/>
  <c r="R29" i="3"/>
  <c r="X27" i="3"/>
  <c r="C30" i="6"/>
  <c r="B30" i="6"/>
  <c r="R30" i="6"/>
  <c r="X28" i="6"/>
  <c r="U29" i="6"/>
  <c r="W28" i="6"/>
  <c r="G30" i="6" l="1"/>
  <c r="F31" i="6"/>
  <c r="H31" i="6" s="1"/>
  <c r="D29" i="3"/>
  <c r="E29" i="3"/>
  <c r="G29" i="3"/>
  <c r="H29" i="3"/>
  <c r="D30" i="6"/>
  <c r="E30" i="6"/>
  <c r="T30" i="6"/>
  <c r="S30" i="6"/>
  <c r="N30" i="6"/>
  <c r="M30" i="6"/>
  <c r="P29" i="3"/>
  <c r="Q29" i="3"/>
  <c r="J29" i="3"/>
  <c r="K29" i="3"/>
  <c r="K30" i="6"/>
  <c r="J30" i="6"/>
  <c r="M29" i="3"/>
  <c r="N29" i="3"/>
  <c r="Q30" i="6"/>
  <c r="P30" i="6"/>
  <c r="S29" i="3"/>
  <c r="T29" i="3"/>
  <c r="L31" i="6"/>
  <c r="O31" i="6"/>
  <c r="I31" i="6"/>
  <c r="W28" i="3"/>
  <c r="X28" i="3"/>
  <c r="R30" i="3"/>
  <c r="O30" i="3"/>
  <c r="I30" i="3"/>
  <c r="C30" i="3"/>
  <c r="L30" i="3"/>
  <c r="B30" i="3"/>
  <c r="F30" i="3"/>
  <c r="U29" i="3"/>
  <c r="X29" i="6"/>
  <c r="U30" i="6"/>
  <c r="W29" i="6"/>
  <c r="R31" i="6"/>
  <c r="C31" i="6"/>
  <c r="B31" i="6"/>
  <c r="G31" i="6" l="1"/>
  <c r="G30" i="3"/>
  <c r="H30" i="3"/>
  <c r="P30" i="3"/>
  <c r="Q30" i="3"/>
  <c r="J30" i="3"/>
  <c r="K30" i="3"/>
  <c r="D31" i="6"/>
  <c r="E31" i="6"/>
  <c r="M30" i="3"/>
  <c r="N30" i="3"/>
  <c r="S30" i="3"/>
  <c r="T30" i="3"/>
  <c r="K31" i="6"/>
  <c r="J31" i="6"/>
  <c r="P31" i="6"/>
  <c r="Q31" i="6"/>
  <c r="D30" i="3"/>
  <c r="E30" i="3"/>
  <c r="T31" i="6"/>
  <c r="S31" i="6"/>
  <c r="F32" i="6"/>
  <c r="N31" i="6"/>
  <c r="M31" i="6"/>
  <c r="L32" i="6"/>
  <c r="O32" i="6"/>
  <c r="I32" i="6"/>
  <c r="W29" i="3"/>
  <c r="X29" i="3"/>
  <c r="R31" i="3"/>
  <c r="C31" i="3"/>
  <c r="B31" i="3"/>
  <c r="F31" i="3"/>
  <c r="I31" i="3"/>
  <c r="L31" i="3"/>
  <c r="O31" i="3"/>
  <c r="U30" i="3"/>
  <c r="X30" i="6"/>
  <c r="W30" i="6"/>
  <c r="U31" i="6"/>
  <c r="R32" i="6"/>
  <c r="C32" i="6"/>
  <c r="B32" i="6"/>
  <c r="J31" i="3" l="1"/>
  <c r="K31" i="3"/>
  <c r="M31" i="3"/>
  <c r="N31" i="3"/>
  <c r="M32" i="6"/>
  <c r="N32" i="6"/>
  <c r="G31" i="3"/>
  <c r="H31" i="3"/>
  <c r="T32" i="6"/>
  <c r="S32" i="6"/>
  <c r="D32" i="6"/>
  <c r="E32" i="6"/>
  <c r="F33" i="6"/>
  <c r="P31" i="3"/>
  <c r="Q31" i="3"/>
  <c r="S31" i="3"/>
  <c r="T31" i="3"/>
  <c r="H32" i="6"/>
  <c r="G32" i="6"/>
  <c r="D31" i="3"/>
  <c r="E31" i="3"/>
  <c r="L33" i="6"/>
  <c r="K32" i="6"/>
  <c r="J32" i="6"/>
  <c r="P32" i="6"/>
  <c r="Q32" i="6"/>
  <c r="O33" i="6"/>
  <c r="I33" i="6"/>
  <c r="O32" i="3"/>
  <c r="W30" i="3"/>
  <c r="X30" i="3"/>
  <c r="F32" i="3"/>
  <c r="B32" i="3"/>
  <c r="I32" i="3"/>
  <c r="L32" i="3"/>
  <c r="C32" i="3"/>
  <c r="U31" i="3"/>
  <c r="R32" i="3"/>
  <c r="W31" i="6"/>
  <c r="U32" i="6"/>
  <c r="X31" i="6"/>
  <c r="R33" i="6"/>
  <c r="C33" i="6"/>
  <c r="B33" i="6"/>
  <c r="M32" i="3" l="1"/>
  <c r="N32" i="3"/>
  <c r="J32" i="3"/>
  <c r="K32" i="3"/>
  <c r="G32" i="3"/>
  <c r="H32" i="3"/>
  <c r="D32" i="3"/>
  <c r="E32" i="3"/>
  <c r="K33" i="6"/>
  <c r="J33" i="6"/>
  <c r="Q33" i="6"/>
  <c r="P33" i="6"/>
  <c r="P32" i="3"/>
  <c r="Q32" i="3"/>
  <c r="S32" i="3"/>
  <c r="T32" i="3"/>
  <c r="N33" i="6"/>
  <c r="M33" i="6"/>
  <c r="E33" i="6"/>
  <c r="D33" i="6"/>
  <c r="T33" i="6"/>
  <c r="S33" i="6"/>
  <c r="H33" i="6"/>
  <c r="G33" i="6"/>
  <c r="W32" i="6"/>
  <c r="W31" i="3"/>
  <c r="R33" i="3"/>
  <c r="O33" i="3"/>
  <c r="U32" i="3"/>
  <c r="X31" i="3"/>
  <c r="F33" i="3"/>
  <c r="L33" i="3"/>
  <c r="B33" i="3"/>
  <c r="I33" i="3"/>
  <c r="C33" i="3"/>
  <c r="X32" i="6"/>
  <c r="U33" i="6"/>
  <c r="J33" i="3" l="1"/>
  <c r="K33" i="3"/>
  <c r="G33" i="3"/>
  <c r="H33" i="3"/>
  <c r="D33" i="3"/>
  <c r="E33" i="3"/>
  <c r="P33" i="3"/>
  <c r="Q33" i="3"/>
  <c r="M33" i="3"/>
  <c r="N33" i="3"/>
  <c r="S33" i="3"/>
  <c r="T33" i="3"/>
  <c r="X32" i="3"/>
  <c r="W32" i="3"/>
  <c r="U33" i="3"/>
  <c r="W33" i="6"/>
  <c r="W34" i="6" s="1"/>
  <c r="X33" i="6"/>
  <c r="X34" i="6" s="1"/>
  <c r="C9" i="10" l="1"/>
  <c r="C5" i="10"/>
  <c r="J21" i="1"/>
  <c r="J17" i="1"/>
  <c r="E5" i="4"/>
  <c r="D5" i="4"/>
  <c r="W33" i="3"/>
  <c r="W34" i="3" s="1"/>
  <c r="X33" i="3"/>
  <c r="X34" i="3" s="1"/>
  <c r="C8" i="10" l="1"/>
  <c r="J20" i="1"/>
  <c r="J16" i="1"/>
  <c r="D4" i="4"/>
  <c r="D17" i="4"/>
  <c r="E4" i="4"/>
  <c r="E17" i="4"/>
  <c r="E6" i="4"/>
  <c r="D6" i="4"/>
  <c r="F5" i="4"/>
  <c r="F17" i="4" l="1"/>
  <c r="F4" i="4"/>
  <c r="F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tc={214ABA1A-CE0A-E446-B19E-8F11BD115EBD}</author>
    <author>tc={13E2F207-3E0A-AF43-B404-DCBECB52B4DA}</author>
    <author>tc={B8C85DC4-1045-F54F-97D7-D46D15A15813}</author>
    <author>tc={920D4A3B-EE62-6147-B79E-6A96D806CA7D}</author>
    <author>tc={B0F235B5-D5AD-354D-BF69-568ADAED679E}</author>
    <author>tc={A9B29AFB-8188-FC4E-B689-D9E16723785A}</author>
    <author>tc={646DA126-87FB-C24B-B78B-8221D12D64B0}</author>
    <author>tc={6532F39A-9A04-9146-B89A-DFCF4DB83267}</author>
    <author>tc={89B59A91-F985-8A4A-8BFF-47EFC2F2774E}</author>
  </authors>
  <commentList>
    <comment ref="O1" authorId="0" shapeId="0" xr:uid="{214ABA1A-CE0A-E446-B19E-8F11BD115EBD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13E2F207-3E0A-AF43-B404-DCBECB52B4DA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B8C85DC4-1045-F54F-97D7-D46D15A158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920D4A3B-EE62-6147-B79E-6A96D806CA7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B0F235B5-D5AD-354D-BF69-568ADAED679E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A9B29AFB-8188-FC4E-B689-D9E16723785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646DA126-87FB-C24B-B78B-8221D12D64B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6532F39A-9A04-9146-B89A-DFCF4DB83267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89B59A91-F985-8A4A-8BFF-47EFC2F2774E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tc={B5F2D97F-0054-934B-9623-64F468E51495}</author>
    <author>tc={70BF3488-AB96-7B45-89A2-F5A19B4799EC}</author>
    <author>tc={CEE95008-1C12-2D42-BDC4-9496B59C808A}</author>
    <author>tc={99B586DE-FE40-504D-8C89-8154561726A3}</author>
    <author>tc={817C0A11-5CA7-E047-B500-05EBC9CC19FC}</author>
    <author>tc={C2B9D41A-5C9E-2844-99D6-6EA58722C2B5}</author>
    <author>tc={7E3055AE-2441-044F-AE29-AE215E257B6B}</author>
    <author>tc={76FDF45E-118C-824C-9782-4E7496E74369}</author>
    <author>tc={62424B44-BC7D-4D4F-B6A8-5DE171AB1891}</author>
  </authors>
  <commentList>
    <comment ref="O1" authorId="0" shapeId="0" xr:uid="{B5F2D97F-0054-934B-9623-64F468E51495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70BF3488-AB96-7B45-89A2-F5A19B4799EC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CEE95008-1C12-2D42-BDC4-9496B59C808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99B586DE-FE40-504D-8C89-8154561726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817C0A11-5CA7-E047-B500-05EBC9CC19FC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C2B9D41A-5C9E-2844-99D6-6EA58722C2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7E3055AE-2441-044F-AE29-AE215E257B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76FDF45E-118C-824C-9782-4E7496E74369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62424B44-BC7D-4D4F-B6A8-5DE171AB1891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tc={9C9C2E77-7C3B-2745-A163-300DEF234BD4}</author>
    <author>tc={E3698469-7063-004C-B272-B2150DFA234F}</author>
    <author>tc={BF061D60-8917-DF4A-B718-4922F2755DD4}</author>
    <author>tc={EC6F8FDB-A346-5D4F-8A4A-8529D9EFD481}</author>
    <author>tc={FD4DC96B-9DF6-644F-9C07-DFF554E6004A}</author>
    <author>tc={C2CB2625-68C3-4B42-A02B-0DC09209EAEE}</author>
    <author>tc={3EC12DA1-3300-3641-A973-1731B508E4E0}</author>
    <author>tc={FE779CE5-7FA6-5146-86AD-D60DECC8C5DC}</author>
    <author>tc={F7CE99EA-87FD-7941-8866-2638B34C5DC0}</author>
  </authors>
  <commentList>
    <comment ref="O1" authorId="0" shapeId="0" xr:uid="{9C9C2E77-7C3B-2745-A163-300DEF234BD4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E3698469-7063-004C-B272-B2150DFA234F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BF061D60-8917-DF4A-B718-4922F2755DD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EC6F8FDB-A346-5D4F-8A4A-8529D9EFD4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FD4DC96B-9DF6-644F-9C07-DFF554E6004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C2CB2625-68C3-4B42-A02B-0DC09209EA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3EC12DA1-3300-3641-A973-1731B508E4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FE779CE5-7FA6-5146-86AD-D60DECC8C5DC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F7CE99EA-87FD-7941-8866-2638B34C5DC0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tc={4D5EBB8C-15B6-3E44-91BE-607E64FF9A61}</author>
    <author>tc={EA836A97-EFD3-9047-B5F9-4C01BA94F810}</author>
    <author>tc={E38611E2-A605-8945-B5A0-A570097B032D}</author>
    <author>tc={7B0E80BB-9FF6-5341-AA6D-DE49E731C6E0}</author>
    <author>tc={275F5540-89B1-B148-848F-7795AB76261A}</author>
    <author>tc={021D8822-FD1C-094E-B356-3ECFF24C9C72}</author>
    <author>tc={1714EE46-FA92-D140-9725-D702FA3721F5}</author>
    <author>tc={F776CFC1-4CD7-AD4C-94E3-30A4422CAB48}</author>
    <author>tc={6DDC40EE-DDA3-D744-8553-19492D741AAB}</author>
  </authors>
  <commentList>
    <comment ref="O1" authorId="0" shapeId="0" xr:uid="{4D5EBB8C-15B6-3E44-91BE-607E64FF9A61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EA836A97-EFD3-9047-B5F9-4C01BA94F810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E38611E2-A605-8945-B5A0-A570097B032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7B0E80BB-9FF6-5341-AA6D-DE49E731C6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275F5540-89B1-B148-848F-7795AB76261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021D8822-FD1C-094E-B356-3ECFF24C9C7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1714EE46-FA92-D140-9725-D702FA3721F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F776CFC1-4CD7-AD4C-94E3-30A4422CAB48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6DDC40EE-DDA3-D744-8553-19492D741AAB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<sst xmlns="http://schemas.openxmlformats.org/spreadsheetml/2006/main" count="719" uniqueCount="263">
  <si>
    <t>Description</t>
  </si>
  <si>
    <t>Value</t>
  </si>
  <si>
    <t>Variable name</t>
  </si>
  <si>
    <t>Cycle</t>
  </si>
  <si>
    <t>N</t>
  </si>
  <si>
    <t>Cost</t>
  </si>
  <si>
    <t>Utility</t>
  </si>
  <si>
    <t>Healthy</t>
  </si>
  <si>
    <t>Stage 1</t>
  </si>
  <si>
    <t>Stage 2</t>
  </si>
  <si>
    <t>Stage 3</t>
  </si>
  <si>
    <t>Remission</t>
  </si>
  <si>
    <t>Death</t>
  </si>
  <si>
    <t>Trace</t>
  </si>
  <si>
    <t>Cost per cycle</t>
  </si>
  <si>
    <t>Utility per cycle</t>
  </si>
  <si>
    <t>Alternative</t>
  </si>
  <si>
    <t>Total Cost</t>
  </si>
  <si>
    <t>Incremental Cost</t>
  </si>
  <si>
    <t>ICER</t>
  </si>
  <si>
    <t>-</t>
  </si>
  <si>
    <t>Total Utility</t>
  </si>
  <si>
    <t>Incremental Utility</t>
  </si>
  <si>
    <t>Status quo</t>
  </si>
  <si>
    <t>Population size</t>
  </si>
  <si>
    <t>nPop</t>
  </si>
  <si>
    <t>Probability of transition from Healthy to Stage 1</t>
  </si>
  <si>
    <t>pHealthyStage1</t>
  </si>
  <si>
    <t>Probability of transition from Healthy to Stage 2</t>
  </si>
  <si>
    <t>Probability of transition from Healthy to Stage 3</t>
  </si>
  <si>
    <t>pHealthyStage2</t>
  </si>
  <si>
    <t>pHealthyStage3</t>
  </si>
  <si>
    <t>Probability of transition from Stage 1 to Stage 2</t>
  </si>
  <si>
    <t>Probability of transition from Stage 1 to Remission</t>
  </si>
  <si>
    <t>pStage1Stage2</t>
  </si>
  <si>
    <t>pStage1Remission</t>
  </si>
  <si>
    <t>Probability of transition from Stage 2 to Stage 1</t>
  </si>
  <si>
    <t>Probability of transition from Stage 2 to Stage 3</t>
  </si>
  <si>
    <t>Probability of transition from Stage 2 to Remission</t>
  </si>
  <si>
    <t>pStage2Stage1</t>
  </si>
  <si>
    <t>pStage2Stage3</t>
  </si>
  <si>
    <t>pStage2Remission</t>
  </si>
  <si>
    <t>Probability of transition from Stage 3 to Stage 2</t>
  </si>
  <si>
    <t>Probability of transition from Stage 3 to Death</t>
  </si>
  <si>
    <t>pStage3Stage2</t>
  </si>
  <si>
    <t>pStage3Death</t>
  </si>
  <si>
    <t>Probability of transition from Remission to Stage 1</t>
  </si>
  <si>
    <t>Probability of transition from Remission to Stage 2</t>
  </si>
  <si>
    <t>pRemissionStage1</t>
  </si>
  <si>
    <t>pRemissionStage2</t>
  </si>
  <si>
    <t>Number of visits per cycle in Stage 1</t>
  </si>
  <si>
    <t>Number of visits per cycle in Stage 2</t>
  </si>
  <si>
    <t>Number of visits per cycle in Stage 3</t>
  </si>
  <si>
    <t>Number of visits per cycle in Remission</t>
  </si>
  <si>
    <t>Cost of treatment per cycle in Stage 1</t>
  </si>
  <si>
    <t>Cost of treatment per cycle in Stage 2</t>
  </si>
  <si>
    <t>Cost of treatment per cycle in Stage 3</t>
  </si>
  <si>
    <t>Cost of treatment per cycle in Remission</t>
  </si>
  <si>
    <t>nVisitsStage1</t>
  </si>
  <si>
    <t>nVisitsStage2</t>
  </si>
  <si>
    <t>nVisitsStage3</t>
  </si>
  <si>
    <t>nVisitsRemission</t>
  </si>
  <si>
    <t>cTreatmentStage1</t>
  </si>
  <si>
    <t>cTreatmentStage2</t>
  </si>
  <si>
    <t>cTreatmentStage3</t>
  </si>
  <si>
    <t>Cost of visit</t>
  </si>
  <si>
    <t>cVisit</t>
  </si>
  <si>
    <t>cTreatmentRemission</t>
  </si>
  <si>
    <t>Utility of Healthy per cycle</t>
  </si>
  <si>
    <t>Utility of Stage 1 per cycle</t>
  </si>
  <si>
    <t>Utility of Stage 2 per cycle</t>
  </si>
  <si>
    <t>Utility of Stage 3 per cycle</t>
  </si>
  <si>
    <t>Utility of Remission per cycle</t>
  </si>
  <si>
    <t>uHealthy</t>
  </si>
  <si>
    <t>uRemission</t>
  </si>
  <si>
    <t>uStage1</t>
  </si>
  <si>
    <t>uStage2</t>
  </si>
  <si>
    <t>uStage3</t>
  </si>
  <si>
    <t>Annual discount rate</t>
  </si>
  <si>
    <t>discount_rate</t>
  </si>
  <si>
    <t>TOTAL</t>
  </si>
  <si>
    <t>Category</t>
  </si>
  <si>
    <t>Other</t>
  </si>
  <si>
    <t>Probabilities</t>
  </si>
  <si>
    <t>Utilities</t>
  </si>
  <si>
    <t>Population alive</t>
  </si>
  <si>
    <t>pRemissionStage1_trtA</t>
  </si>
  <si>
    <t>pRemissionStage2_trtA</t>
  </si>
  <si>
    <t>pRemissionStage1_trtB</t>
  </si>
  <si>
    <t>pRemissionStage2_trtB</t>
  </si>
  <si>
    <t>Lower bound</t>
  </si>
  <si>
    <t>Upper bound</t>
  </si>
  <si>
    <t>pRemissionStage1_trtC</t>
  </si>
  <si>
    <t>pRemissionStage2_trtC</t>
  </si>
  <si>
    <t>Probability of transition from Remission to Stage 1 when on Treatment A</t>
  </si>
  <si>
    <t>Probability of transition from Remission to Stage 2 when on Treatment B</t>
  </si>
  <si>
    <t>Probability of transition from Remission to Stage 2 when on Treatment A</t>
  </si>
  <si>
    <t>Probability of transition from Remission to Stage 1 when on Treatment B</t>
  </si>
  <si>
    <t>Probability of transition from Remission to Stage 1 when on Treatment C</t>
  </si>
  <si>
    <t>Probability of transition from Remission to Stage 2 when on Treatment C</t>
  </si>
  <si>
    <t>cost</t>
  </si>
  <si>
    <t>cTrtA</t>
  </si>
  <si>
    <t>cTrtB</t>
  </si>
  <si>
    <t>cTrtC</t>
  </si>
  <si>
    <t>Rates</t>
  </si>
  <si>
    <t>Rate of transition from Health to Stage 1</t>
  </si>
  <si>
    <t>Rate of transition from Health to Stage 2</t>
  </si>
  <si>
    <t>Rate of transition from Health to Stage 3</t>
  </si>
  <si>
    <t>Rate of transition from Stage 1 to Stage 2</t>
  </si>
  <si>
    <t>Rate of transition from Stage 1 to Remission</t>
  </si>
  <si>
    <t>Rate of transition from Stage 2 to Remission</t>
  </si>
  <si>
    <t>Rate of transition from Stage 2 to Stage 1</t>
  </si>
  <si>
    <t>Rate of transition from Stage 2 to Stage 3</t>
  </si>
  <si>
    <t>Rate of transition from Stage 3 to Stage 2</t>
  </si>
  <si>
    <t>Rate of transition from Stage 3 to Death</t>
  </si>
  <si>
    <t>Increase in transition rate from Remission to Stage 1 (Hazard Rate Treatment A)</t>
  </si>
  <si>
    <t>Increase in transition rate from Remission to Stage 2 (Hazard Rate Treatment A)</t>
  </si>
  <si>
    <t>Increase in transition rate from Remission to Stage 1 (Hazard Rate Treatment B)</t>
  </si>
  <si>
    <t>Increase in transition rate from Remission to Stage 2 (Hazard Rate Treatment B)</t>
  </si>
  <si>
    <t>Increase in transition rate from Remission to Stage 1 (Hazard Rate Treatment C)</t>
  </si>
  <si>
    <t>Increase in transition rate from Remission to Stage 2 (Hazard Rate Treatment C)</t>
  </si>
  <si>
    <t>rHealthyStage1</t>
  </si>
  <si>
    <t>rHealthyStage2</t>
  </si>
  <si>
    <t>rHealthyStage3</t>
  </si>
  <si>
    <t>rStage1Stage2</t>
  </si>
  <si>
    <t>rStage1Remission</t>
  </si>
  <si>
    <t>rStage2Stage1</t>
  </si>
  <si>
    <t>rStage2Stage3</t>
  </si>
  <si>
    <t>rStage2Remission</t>
  </si>
  <si>
    <t>rStage3Stage2</t>
  </si>
  <si>
    <t>rStage3Death</t>
  </si>
  <si>
    <t>hrRemissionStage1_trtA</t>
  </si>
  <si>
    <t>hrRemissionStage2_trtA</t>
  </si>
  <si>
    <t>hrRemissionStage1_trtB</t>
  </si>
  <si>
    <t>hrRemissionStage2_trtB</t>
  </si>
  <si>
    <t>hrRemissionStage2_trtC</t>
  </si>
  <si>
    <t>hrRemissionStage1_trtC</t>
  </si>
  <si>
    <t>Weight for Simpson's rule</t>
  </si>
  <si>
    <t>Formula</t>
  </si>
  <si>
    <t>Cost of Treatment A for Remission per cycle</t>
  </si>
  <si>
    <t>Cost of Treatment B for Remission per cycle</t>
  </si>
  <si>
    <t>Cost of Treatment C for Remission per cycle</t>
  </si>
  <si>
    <t>Treatment A</t>
  </si>
  <si>
    <t>Treatment B</t>
  </si>
  <si>
    <t>Treatment C</t>
  </si>
  <si>
    <t>Initial ICERS: Sort strategies by cost (least costly first, most costly last)</t>
  </si>
  <si>
    <t>Remaining strategies when strictly dominated strategies are removed</t>
  </si>
  <si>
    <t>Status</t>
  </si>
  <si>
    <t>Dominated</t>
  </si>
  <si>
    <t>Final ICERs after all weakly dominated strategies are removed</t>
  </si>
  <si>
    <t>Weakly Dominated</t>
  </si>
  <si>
    <t>lower</t>
  </si>
  <si>
    <t>upper</t>
  </si>
  <si>
    <t>NMB</t>
  </si>
  <si>
    <t>willing to pay</t>
  </si>
  <si>
    <t>wtp</t>
  </si>
  <si>
    <t>range</t>
  </si>
  <si>
    <t>Make a tornado plot for the NMB</t>
  </si>
  <si>
    <t>Make a tornado plot for the ICER</t>
  </si>
  <si>
    <t>Step 0: FILL OUT THIS SECTION</t>
  </si>
  <si>
    <t>Option 1. Rate-to-Probability Conversion Formulas</t>
  </si>
  <si>
    <t>Option 2. Embedded from Rate Matrix. Note: THESE CELLS WILL CALCULATE AUTOMATICALLY</t>
  </si>
  <si>
    <t xml:space="preserve">Option 2 Inputs: FILL OUT THIS SECTION </t>
  </si>
  <si>
    <t>Transition Rate Matrix</t>
  </si>
  <si>
    <t xml:space="preserve">Transition Probability Matrix </t>
  </si>
  <si>
    <t>Binary Matrix (No Need to Edit)</t>
  </si>
  <si>
    <t>Rate Matrix ^ 1</t>
  </si>
  <si>
    <t>Rate Matrix ^2</t>
  </si>
  <si>
    <t>Rate Matrix ^3</t>
  </si>
  <si>
    <t>Rate Matrix ^4</t>
  </si>
  <si>
    <t>strategy</t>
  </si>
  <si>
    <t>from</t>
  </si>
  <si>
    <t>A</t>
  </si>
  <si>
    <t>m_P_trtA</t>
  </si>
  <si>
    <t>B</t>
  </si>
  <si>
    <t>m_P_trtB</t>
  </si>
  <si>
    <t>C</t>
  </si>
  <si>
    <t>m_P_trtC</t>
  </si>
  <si>
    <t>Rate of transition from Remission to Stage 1</t>
  </si>
  <si>
    <t>Rate of transition from Remission to Stage 2</t>
  </si>
  <si>
    <t>rRemissionStage1</t>
  </si>
  <si>
    <t>rRemissionStage2</t>
  </si>
  <si>
    <t>m_P_quo</t>
  </si>
  <si>
    <t>m_P_quo_matrixExp</t>
  </si>
  <si>
    <t>m_P_trtA_matrixExp</t>
  </si>
  <si>
    <t>m_P_trtB_matrixExp</t>
  </si>
  <si>
    <t>m_P_trtC_matrixExp</t>
  </si>
  <si>
    <t>Payoffs</t>
  </si>
  <si>
    <t>Strategy</t>
  </si>
  <si>
    <t>costs_trtA</t>
  </si>
  <si>
    <t>qalys_trtA</t>
  </si>
  <si>
    <t>costs_quo</t>
  </si>
  <si>
    <t>qalys_quo</t>
  </si>
  <si>
    <t>Markov Trace</t>
  </si>
  <si>
    <t>Total Costs</t>
  </si>
  <si>
    <t>Total QALYs</t>
  </si>
  <si>
    <t>1. Discounting</t>
  </si>
  <si>
    <t>2. Cycle Adjustment</t>
  </si>
  <si>
    <t>3. Cost Adjustment
(1 * 2)</t>
  </si>
  <si>
    <t>4. QALY adjustment
(1 * 2)</t>
  </si>
  <si>
    <t>totcost_trtA</t>
  </si>
  <si>
    <t>cost_trtA</t>
  </si>
  <si>
    <t>qaly_trtA</t>
  </si>
  <si>
    <t>w_c_disc_trtA</t>
  </si>
  <si>
    <t>w_e_disc_trtA</t>
  </si>
  <si>
    <t>w_c_trtA</t>
  </si>
  <si>
    <t>w_e_trtA</t>
  </si>
  <si>
    <t>totqaly_trtA</t>
  </si>
  <si>
    <t>cost_quo</t>
  </si>
  <si>
    <t>qaly_quo</t>
  </si>
  <si>
    <t>w_c_disc_quo</t>
  </si>
  <si>
    <t>w_e_disc_quo</t>
  </si>
  <si>
    <t>cycle_adj</t>
  </si>
  <si>
    <t>w_c_quo</t>
  </si>
  <si>
    <t>w_e_quo</t>
  </si>
  <si>
    <t>totcost_quo</t>
  </si>
  <si>
    <t>totqaly_quo</t>
  </si>
  <si>
    <t>costs_trtB</t>
  </si>
  <si>
    <t>qalys_trtB</t>
  </si>
  <si>
    <t>cost_trtB</t>
  </si>
  <si>
    <t>qaly_trtB</t>
  </si>
  <si>
    <t>w_c_trtB</t>
  </si>
  <si>
    <t>w_e_trtB</t>
  </si>
  <si>
    <t>w_e_disc_trtB</t>
  </si>
  <si>
    <t>w_c_disc_trtB</t>
  </si>
  <si>
    <t>totcost_trtB</t>
  </si>
  <si>
    <t>totqaly_trtB</t>
  </si>
  <si>
    <t>costs_trtC</t>
  </si>
  <si>
    <t>qalys_trtC</t>
  </si>
  <si>
    <t>cost_trtC</t>
  </si>
  <si>
    <t>qaly_trtC</t>
  </si>
  <si>
    <t>w_c_disc_trtC</t>
  </si>
  <si>
    <t>w_e_disc_trtC</t>
  </si>
  <si>
    <t>w_c_trtC</t>
  </si>
  <si>
    <t>w_e_trtC</t>
  </si>
  <si>
    <t>Cycle length</t>
  </si>
  <si>
    <t>cycle_length</t>
  </si>
  <si>
    <t>n_cycles</t>
  </si>
  <si>
    <t>Cycle number</t>
  </si>
  <si>
    <t>Utility of Death per cycle</t>
  </si>
  <si>
    <t>uDeath</t>
  </si>
  <si>
    <t>trt A</t>
  </si>
  <si>
    <t>Option 2. Matrix Exponentiation Result from R</t>
  </si>
  <si>
    <t>m_P_quo_R</t>
  </si>
  <si>
    <t>m_P_trtA_R</t>
  </si>
  <si>
    <t>m_P_trtB_R</t>
  </si>
  <si>
    <t>m_P_trtC_R</t>
  </si>
  <si>
    <t>NMB = 0</t>
  </si>
  <si>
    <t>useGoalSeek</t>
  </si>
  <si>
    <t>Age (years)</t>
  </si>
  <si>
    <r>
      <t xml:space="preserve">Probability of dying between ages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and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+ 1</t>
    </r>
  </si>
  <si>
    <r>
      <t xml:space="preserve">Number dying between ages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and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+ 1</t>
    </r>
  </si>
  <si>
    <r>
      <t>q</t>
    </r>
    <r>
      <rPr>
        <i/>
        <vertAlign val="subscript"/>
        <sz val="11"/>
        <rFont val="Arial"/>
        <family val="2"/>
      </rPr>
      <t>x</t>
    </r>
  </si>
  <si>
    <r>
      <t>d</t>
    </r>
    <r>
      <rPr>
        <i/>
        <vertAlign val="subscript"/>
        <sz val="11"/>
        <rFont val="Arial"/>
        <family val="2"/>
      </rPr>
      <t>x</t>
    </r>
  </si>
  <si>
    <t>start as 45-yr male</t>
  </si>
  <si>
    <t>cancer Death(cumsum)</t>
  </si>
  <si>
    <t>background death(cumsum)</t>
  </si>
  <si>
    <t>original qx</t>
  </si>
  <si>
    <t>calculated qx</t>
  </si>
  <si>
    <t>calculation process&gt;&gt;</t>
  </si>
  <si>
    <r>
      <t xml:space="preserve"> percent from </t>
    </r>
    <r>
      <rPr>
        <sz val="11"/>
        <color rgb="FFFFC000"/>
        <rFont val="Calibri (Body)"/>
      </rPr>
      <t>GBD</t>
    </r>
  </si>
  <si>
    <t>When there's the percent of death due to prostate cancer from GBD, using (1 - the percent)*the orginial qx.</t>
  </si>
  <si>
    <t>For some ages, GBD didn't have the percents.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</si>
</sst>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.0_);_(* \(#,##0.0\);_(* &quot;-&quot;??_);_(@_)"/>
    <numFmt numFmtId="166" formatCode="_(* #,##0_);_(* \(#,##0\);_(* &quot;-&quot;??_);_(@_)"/>
    <numFmt numFmtId="167" formatCode="0.000"/>
    <numFmt numFmtId="168" formatCode="0.0000"/>
    <numFmt numFmtId="169" formatCode="0.00000"/>
    <numFmt numFmtId="170" formatCode="0.000000000000000"/>
    <numFmt numFmtId="171" formatCode="_(&quot;$&quot;* #,##0.0_);_(&quot;$&quot;* \(#,##0.0\);_(&quot;$&quot;* &quot;-&quot;??_);_(@_)"/>
    <numFmt numFmtId="172" formatCode="0.00000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i/>
      <vertAlign val="subscript"/>
      <sz val="11"/>
      <name val="Arial"/>
      <family val="2"/>
    </font>
    <font>
      <sz val="11"/>
      <color rgb="FF000000"/>
      <name val="Arial"/>
      <family val="2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C000"/>
      <name val="Calibri (Body)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43">
    <xf numFmtId="0" fontId="0" fillId="0" borderId="0" xfId="0"/>
    <xf numFmtId="0" fontId="0" fillId="0" borderId="0" xfId="0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166" fontId="0" fillId="0" borderId="0" xfId="1" applyNumberFormat="1" applyFont="1" applyAlignment="1">
      <alignment vertical="center"/>
    </xf>
    <xf numFmtId="0" fontId="0" fillId="0" borderId="0" xfId="1" applyNumberFormat="1" applyFont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166" fontId="0" fillId="0" borderId="14" xfId="1" applyNumberFormat="1" applyFont="1" applyBorder="1" applyAlignment="1">
      <alignment vertical="center"/>
    </xf>
    <xf numFmtId="166" fontId="0" fillId="0" borderId="15" xfId="1" applyNumberFormat="1" applyFont="1" applyBorder="1" applyAlignment="1">
      <alignment vertical="center"/>
    </xf>
    <xf numFmtId="166" fontId="0" fillId="0" borderId="5" xfId="1" applyNumberFormat="1" applyFont="1" applyBorder="1" applyAlignment="1">
      <alignment vertical="center"/>
    </xf>
    <xf numFmtId="166" fontId="0" fillId="0" borderId="17" xfId="1" applyNumberFormat="1" applyFont="1" applyBorder="1" applyAlignment="1">
      <alignment vertical="center"/>
    </xf>
    <xf numFmtId="166" fontId="0" fillId="0" borderId="8" xfId="1" applyNumberFormat="1" applyFont="1" applyBorder="1" applyAlignment="1">
      <alignment vertical="center"/>
    </xf>
    <xf numFmtId="166" fontId="0" fillId="0" borderId="6" xfId="1" applyNumberFormat="1" applyFont="1" applyBorder="1" applyAlignment="1">
      <alignment vertical="center"/>
    </xf>
    <xf numFmtId="166" fontId="0" fillId="0" borderId="7" xfId="1" applyNumberFormat="1" applyFont="1" applyBorder="1" applyAlignment="1">
      <alignment vertical="center"/>
    </xf>
    <xf numFmtId="166" fontId="0" fillId="0" borderId="0" xfId="1" applyNumberFormat="1" applyFont="1" applyBorder="1" applyAlignment="1">
      <alignment vertical="center"/>
    </xf>
    <xf numFmtId="165" fontId="0" fillId="0" borderId="18" xfId="1" applyNumberFormat="1" applyFont="1" applyBorder="1" applyAlignment="1">
      <alignment vertical="center"/>
    </xf>
    <xf numFmtId="166" fontId="0" fillId="0" borderId="9" xfId="1" applyNumberFormat="1" applyFont="1" applyBorder="1" applyAlignment="1">
      <alignment vertical="center"/>
    </xf>
    <xf numFmtId="165" fontId="0" fillId="0" borderId="10" xfId="1" applyNumberFormat="1" applyFont="1" applyBorder="1" applyAlignment="1">
      <alignment vertical="center"/>
    </xf>
    <xf numFmtId="166" fontId="0" fillId="0" borderId="18" xfId="1" applyNumberFormat="1" applyFont="1" applyBorder="1" applyAlignment="1">
      <alignment vertical="center"/>
    </xf>
    <xf numFmtId="166" fontId="0" fillId="0" borderId="10" xfId="1" applyNumberFormat="1" applyFont="1" applyBorder="1" applyAlignment="1">
      <alignment vertical="center"/>
    </xf>
    <xf numFmtId="165" fontId="0" fillId="0" borderId="15" xfId="1" applyNumberFormat="1" applyFont="1" applyBorder="1" applyAlignment="1">
      <alignment vertical="center"/>
    </xf>
    <xf numFmtId="43" fontId="0" fillId="0" borderId="5" xfId="1" applyFont="1" applyBorder="1" applyAlignment="1">
      <alignment vertical="center"/>
    </xf>
    <xf numFmtId="43" fontId="0" fillId="0" borderId="17" xfId="1" applyFont="1" applyBorder="1" applyAlignment="1">
      <alignment vertical="center"/>
    </xf>
    <xf numFmtId="43" fontId="0" fillId="0" borderId="8" xfId="1" applyFont="1" applyBorder="1" applyAlignment="1">
      <alignment vertical="center"/>
    </xf>
    <xf numFmtId="0" fontId="3" fillId="0" borderId="1" xfId="1" applyNumberFormat="1" applyFont="1" applyBorder="1" applyAlignment="1">
      <alignment vertical="center"/>
    </xf>
    <xf numFmtId="166" fontId="3" fillId="0" borderId="2" xfId="1" applyNumberFormat="1" applyFont="1" applyBorder="1" applyAlignment="1">
      <alignment vertical="center"/>
    </xf>
    <xf numFmtId="166" fontId="3" fillId="0" borderId="19" xfId="1" applyNumberFormat="1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5" xfId="0" applyBorder="1"/>
    <xf numFmtId="0" fontId="0" fillId="0" borderId="8" xfId="0" applyBorder="1"/>
    <xf numFmtId="166" fontId="0" fillId="0" borderId="9" xfId="1" applyNumberFormat="1" applyFont="1" applyBorder="1"/>
    <xf numFmtId="0" fontId="3" fillId="0" borderId="20" xfId="0" applyFont="1" applyBorder="1" applyAlignment="1">
      <alignment horizontal="center" vertical="center"/>
    </xf>
    <xf numFmtId="166" fontId="0" fillId="0" borderId="6" xfId="1" applyNumberFormat="1" applyFont="1" applyBorder="1"/>
    <xf numFmtId="0" fontId="0" fillId="0" borderId="6" xfId="0" applyBorder="1" applyAlignment="1">
      <alignment vertical="center"/>
    </xf>
    <xf numFmtId="164" fontId="0" fillId="0" borderId="0" xfId="2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164" fontId="0" fillId="0" borderId="9" xfId="2" applyNumberFormat="1" applyFont="1" applyBorder="1" applyAlignment="1">
      <alignment vertical="center"/>
    </xf>
    <xf numFmtId="9" fontId="0" fillId="0" borderId="6" xfId="0" applyNumberFormat="1" applyBorder="1" applyAlignment="1">
      <alignment vertical="center"/>
    </xf>
    <xf numFmtId="9" fontId="0" fillId="0" borderId="0" xfId="0" applyNumberFormat="1" applyAlignment="1">
      <alignment vertical="center"/>
    </xf>
    <xf numFmtId="9" fontId="0" fillId="0" borderId="9" xfId="0" applyNumberFormat="1" applyBorder="1" applyAlignment="1">
      <alignment vertical="center"/>
    </xf>
    <xf numFmtId="164" fontId="0" fillId="0" borderId="6" xfId="2" applyNumberFormat="1" applyFont="1" applyBorder="1"/>
    <xf numFmtId="164" fontId="0" fillId="0" borderId="9" xfId="2" applyNumberFormat="1" applyFont="1" applyBorder="1"/>
    <xf numFmtId="1" fontId="0" fillId="0" borderId="5" xfId="1" applyNumberFormat="1" applyFont="1" applyBorder="1" applyAlignment="1">
      <alignment vertical="center"/>
    </xf>
    <xf numFmtId="1" fontId="0" fillId="0" borderId="17" xfId="1" applyNumberFormat="1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0" fillId="0" borderId="23" xfId="0" applyBorder="1" applyAlignment="1">
      <alignment vertical="center"/>
    </xf>
    <xf numFmtId="166" fontId="0" fillId="0" borderId="23" xfId="1" applyNumberFormat="1" applyFont="1" applyBorder="1" applyAlignment="1">
      <alignment vertical="center"/>
    </xf>
    <xf numFmtId="0" fontId="3" fillId="0" borderId="2" xfId="1" applyNumberFormat="1" applyFont="1" applyBorder="1" applyAlignment="1">
      <alignment vertical="center"/>
    </xf>
    <xf numFmtId="167" fontId="0" fillId="0" borderId="17" xfId="1" applyNumberFormat="1" applyFont="1" applyBorder="1" applyAlignment="1">
      <alignment vertical="center"/>
    </xf>
    <xf numFmtId="167" fontId="0" fillId="0" borderId="5" xfId="1" applyNumberFormat="1" applyFont="1" applyBorder="1" applyAlignment="1">
      <alignment vertical="center"/>
    </xf>
    <xf numFmtId="0" fontId="0" fillId="0" borderId="17" xfId="0" applyBorder="1"/>
    <xf numFmtId="164" fontId="0" fillId="0" borderId="0" xfId="2" applyNumberFormat="1" applyFont="1" applyBorder="1"/>
    <xf numFmtId="166" fontId="0" fillId="0" borderId="0" xfId="1" applyNumberFormat="1" applyFont="1" applyBorder="1"/>
    <xf numFmtId="166" fontId="0" fillId="0" borderId="24" xfId="1" applyNumberFormat="1" applyFont="1" applyBorder="1" applyAlignment="1">
      <alignment horizontal="right"/>
    </xf>
    <xf numFmtId="0" fontId="5" fillId="8" borderId="0" xfId="0" applyFont="1" applyFill="1"/>
    <xf numFmtId="0" fontId="0" fillId="8" borderId="0" xfId="0" applyFill="1"/>
    <xf numFmtId="0" fontId="0" fillId="0" borderId="6" xfId="0" applyBorder="1" applyAlignment="1">
      <alignment horizontal="right"/>
    </xf>
    <xf numFmtId="0" fontId="0" fillId="0" borderId="21" xfId="0" applyBorder="1" applyAlignment="1">
      <alignment horizontal="right"/>
    </xf>
    <xf numFmtId="166" fontId="0" fillId="0" borderId="3" xfId="1" applyNumberFormat="1" applyFont="1" applyBorder="1" applyAlignment="1">
      <alignment horizontal="right"/>
    </xf>
    <xf numFmtId="166" fontId="0" fillId="0" borderId="25" xfId="1" applyNumberFormat="1" applyFont="1" applyBorder="1"/>
    <xf numFmtId="0" fontId="0" fillId="9" borderId="4" xfId="0" applyFill="1" applyBorder="1"/>
    <xf numFmtId="164" fontId="0" fillId="8" borderId="11" xfId="2" applyNumberFormat="1" applyFont="1" applyFill="1" applyBorder="1"/>
    <xf numFmtId="164" fontId="0" fillId="8" borderId="26" xfId="2" applyNumberFormat="1" applyFont="1" applyFill="1" applyBorder="1"/>
    <xf numFmtId="164" fontId="0" fillId="8" borderId="27" xfId="2" applyNumberFormat="1" applyFont="1" applyFill="1" applyBorder="1"/>
    <xf numFmtId="164" fontId="0" fillId="8" borderId="28" xfId="2" applyNumberFormat="1" applyFont="1" applyFill="1" applyBorder="1"/>
    <xf numFmtId="164" fontId="0" fillId="8" borderId="29" xfId="2" applyNumberFormat="1" applyFont="1" applyFill="1" applyBorder="1"/>
    <xf numFmtId="9" fontId="0" fillId="0" borderId="30" xfId="0" applyNumberFormat="1" applyBorder="1" applyAlignment="1">
      <alignment vertical="center"/>
    </xf>
    <xf numFmtId="9" fontId="0" fillId="0" borderId="0" xfId="0" applyNumberFormat="1"/>
    <xf numFmtId="0" fontId="1" fillId="8" borderId="0" xfId="3" applyFill="1"/>
    <xf numFmtId="164" fontId="0" fillId="8" borderId="29" xfId="4" applyNumberFormat="1" applyFont="1" applyFill="1" applyBorder="1"/>
    <xf numFmtId="164" fontId="0" fillId="8" borderId="28" xfId="4" applyNumberFormat="1" applyFont="1" applyFill="1" applyBorder="1"/>
    <xf numFmtId="0" fontId="1" fillId="9" borderId="4" xfId="3" applyFill="1" applyBorder="1"/>
    <xf numFmtId="167" fontId="1" fillId="8" borderId="0" xfId="3" applyNumberFormat="1" applyFill="1"/>
    <xf numFmtId="164" fontId="1" fillId="8" borderId="0" xfId="3" applyNumberFormat="1" applyFill="1"/>
    <xf numFmtId="9" fontId="4" fillId="0" borderId="0" xfId="0" applyNumberFormat="1" applyFont="1" applyAlignment="1">
      <alignment vertical="center"/>
    </xf>
    <xf numFmtId="168" fontId="0" fillId="0" borderId="6" xfId="0" applyNumberFormat="1" applyBorder="1" applyAlignment="1">
      <alignment vertical="center"/>
    </xf>
    <xf numFmtId="168" fontId="0" fillId="0" borderId="0" xfId="0" applyNumberFormat="1" applyAlignment="1">
      <alignment vertical="center"/>
    </xf>
    <xf numFmtId="0" fontId="0" fillId="8" borderId="0" xfId="0" applyFill="1" applyAlignment="1">
      <alignment wrapText="1"/>
    </xf>
    <xf numFmtId="0" fontId="8" fillId="9" borderId="32" xfId="0" applyFont="1" applyFill="1" applyBorder="1"/>
    <xf numFmtId="0" fontId="7" fillId="9" borderId="2" xfId="0" applyFont="1" applyFill="1" applyBorder="1"/>
    <xf numFmtId="0" fontId="7" fillId="9" borderId="19" xfId="0" applyFont="1" applyFill="1" applyBorder="1"/>
    <xf numFmtId="0" fontId="0" fillId="8" borderId="34" xfId="0" applyFill="1" applyBorder="1" applyAlignment="1">
      <alignment wrapText="1"/>
    </xf>
    <xf numFmtId="0" fontId="5" fillId="8" borderId="9" xfId="0" applyFont="1" applyFill="1" applyBorder="1"/>
    <xf numFmtId="0" fontId="0" fillId="8" borderId="9" xfId="0" applyFill="1" applyBorder="1"/>
    <xf numFmtId="0" fontId="5" fillId="8" borderId="33" xfId="0" applyFont="1" applyFill="1" applyBorder="1"/>
    <xf numFmtId="0" fontId="0" fillId="8" borderId="25" xfId="0" applyFill="1" applyBorder="1"/>
    <xf numFmtId="49" fontId="5" fillId="8" borderId="9" xfId="0" applyNumberFormat="1" applyFont="1" applyFill="1" applyBorder="1"/>
    <xf numFmtId="49" fontId="5" fillId="8" borderId="33" xfId="0" applyNumberFormat="1" applyFont="1" applyFill="1" applyBorder="1"/>
    <xf numFmtId="0" fontId="5" fillId="8" borderId="9" xfId="0" applyFont="1" applyFill="1" applyBorder="1" applyAlignment="1">
      <alignment wrapText="1"/>
    </xf>
    <xf numFmtId="0" fontId="5" fillId="8" borderId="35" xfId="0" applyFont="1" applyFill="1" applyBorder="1" applyAlignment="1">
      <alignment wrapText="1"/>
    </xf>
    <xf numFmtId="49" fontId="5" fillId="8" borderId="0" xfId="0" applyNumberFormat="1" applyFont="1" applyFill="1" applyAlignment="1">
      <alignment wrapText="1"/>
    </xf>
    <xf numFmtId="49" fontId="5" fillId="8" borderId="34" xfId="0" applyNumberFormat="1" applyFont="1" applyFill="1" applyBorder="1" applyAlignment="1">
      <alignment wrapText="1"/>
    </xf>
    <xf numFmtId="170" fontId="0" fillId="8" borderId="0" xfId="0" applyNumberFormat="1" applyFill="1"/>
    <xf numFmtId="0" fontId="0" fillId="8" borderId="34" xfId="0" applyFill="1" applyBorder="1"/>
    <xf numFmtId="0" fontId="0" fillId="8" borderId="35" xfId="0" applyFill="1" applyBorder="1"/>
    <xf numFmtId="49" fontId="0" fillId="8" borderId="0" xfId="0" applyNumberFormat="1" applyFill="1"/>
    <xf numFmtId="49" fontId="0" fillId="8" borderId="34" xfId="0" applyNumberFormat="1" applyFill="1" applyBorder="1" applyAlignment="1">
      <alignment horizontal="right"/>
    </xf>
    <xf numFmtId="0" fontId="0" fillId="10" borderId="4" xfId="0" applyFill="1" applyBorder="1"/>
    <xf numFmtId="0" fontId="0" fillId="11" borderId="4" xfId="0" applyFill="1" applyBorder="1"/>
    <xf numFmtId="0" fontId="0" fillId="11" borderId="36" xfId="0" applyFill="1" applyBorder="1"/>
    <xf numFmtId="49" fontId="0" fillId="8" borderId="0" xfId="0" applyNumberFormat="1" applyFill="1" applyAlignment="1">
      <alignment wrapText="1"/>
    </xf>
    <xf numFmtId="49" fontId="0" fillId="8" borderId="34" xfId="0" applyNumberFormat="1" applyFill="1" applyBorder="1" applyAlignment="1">
      <alignment wrapText="1"/>
    </xf>
    <xf numFmtId="168" fontId="0" fillId="10" borderId="4" xfId="0" applyNumberFormat="1" applyFill="1" applyBorder="1"/>
    <xf numFmtId="168" fontId="0" fillId="10" borderId="36" xfId="0" applyNumberFormat="1" applyFill="1" applyBorder="1"/>
    <xf numFmtId="168" fontId="0" fillId="12" borderId="4" xfId="0" applyNumberFormat="1" applyFill="1" applyBorder="1"/>
    <xf numFmtId="168" fontId="0" fillId="12" borderId="36" xfId="0" applyNumberFormat="1" applyFill="1" applyBorder="1"/>
    <xf numFmtId="1" fontId="0" fillId="8" borderId="4" xfId="0" applyNumberFormat="1" applyFill="1" applyBorder="1"/>
    <xf numFmtId="169" fontId="0" fillId="11" borderId="4" xfId="0" applyNumberFormat="1" applyFill="1" applyBorder="1"/>
    <xf numFmtId="11" fontId="0" fillId="11" borderId="36" xfId="0" applyNumberFormat="1" applyFill="1" applyBorder="1"/>
    <xf numFmtId="0" fontId="0" fillId="10" borderId="36" xfId="0" applyFill="1" applyBorder="1"/>
    <xf numFmtId="49" fontId="5" fillId="8" borderId="0" xfId="0" applyNumberFormat="1" applyFont="1" applyFill="1"/>
    <xf numFmtId="49" fontId="5" fillId="8" borderId="34" xfId="0" applyNumberFormat="1" applyFont="1" applyFill="1" applyBorder="1"/>
    <xf numFmtId="168" fontId="0" fillId="8" borderId="35" xfId="0" applyNumberFormat="1" applyFill="1" applyBorder="1"/>
    <xf numFmtId="169" fontId="0" fillId="8" borderId="34" xfId="0" applyNumberFormat="1" applyFill="1" applyBorder="1"/>
    <xf numFmtId="11" fontId="0" fillId="8" borderId="35" xfId="0" applyNumberFormat="1" applyFill="1" applyBorder="1"/>
    <xf numFmtId="0" fontId="0" fillId="8" borderId="35" xfId="0" applyFill="1" applyBorder="1" applyAlignment="1">
      <alignment wrapText="1"/>
    </xf>
    <xf numFmtId="49" fontId="0" fillId="8" borderId="34" xfId="0" applyNumberFormat="1" applyFill="1" applyBorder="1"/>
    <xf numFmtId="0" fontId="5" fillId="8" borderId="0" xfId="0" applyFont="1" applyFill="1" applyAlignment="1">
      <alignment wrapText="1"/>
    </xf>
    <xf numFmtId="169" fontId="0" fillId="11" borderId="13" xfId="0" applyNumberFormat="1" applyFill="1" applyBorder="1"/>
    <xf numFmtId="169" fontId="0" fillId="8" borderId="0" xfId="0" applyNumberFormat="1" applyFill="1"/>
    <xf numFmtId="169" fontId="0" fillId="11" borderId="37" xfId="0" applyNumberFormat="1" applyFill="1" applyBorder="1"/>
    <xf numFmtId="168" fontId="0" fillId="8" borderId="0" xfId="0" applyNumberFormat="1" applyFill="1"/>
    <xf numFmtId="49" fontId="0" fillId="8" borderId="28" xfId="0" applyNumberFormat="1" applyFill="1" applyBorder="1" applyAlignment="1">
      <alignment wrapText="1"/>
    </xf>
    <xf numFmtId="168" fontId="0" fillId="12" borderId="38" xfId="0" applyNumberFormat="1" applyFill="1" applyBorder="1"/>
    <xf numFmtId="168" fontId="0" fillId="12" borderId="39" xfId="0" applyNumberFormat="1" applyFill="1" applyBorder="1"/>
    <xf numFmtId="49" fontId="0" fillId="8" borderId="28" xfId="0" applyNumberFormat="1" applyFill="1" applyBorder="1" applyAlignment="1">
      <alignment horizontal="right"/>
    </xf>
    <xf numFmtId="0" fontId="0" fillId="11" borderId="38" xfId="0" applyFill="1" applyBorder="1"/>
    <xf numFmtId="0" fontId="0" fillId="10" borderId="39" xfId="0" applyFill="1" applyBorder="1"/>
    <xf numFmtId="168" fontId="0" fillId="10" borderId="38" xfId="0" applyNumberFormat="1" applyFill="1" applyBorder="1"/>
    <xf numFmtId="168" fontId="0" fillId="10" borderId="39" xfId="0" applyNumberFormat="1" applyFill="1" applyBorder="1"/>
    <xf numFmtId="169" fontId="0" fillId="11" borderId="40" xfId="0" applyNumberFormat="1" applyFill="1" applyBorder="1"/>
    <xf numFmtId="169" fontId="0" fillId="11" borderId="38" xfId="0" applyNumberFormat="1" applyFill="1" applyBorder="1"/>
    <xf numFmtId="169" fontId="0" fillId="11" borderId="31" xfId="0" applyNumberFormat="1" applyFill="1" applyBorder="1"/>
    <xf numFmtId="169" fontId="0" fillId="8" borderId="41" xfId="0" applyNumberFormat="1" applyFill="1" applyBorder="1"/>
    <xf numFmtId="11" fontId="0" fillId="11" borderId="39" xfId="0" applyNumberFormat="1" applyFill="1" applyBorder="1"/>
    <xf numFmtId="0" fontId="5" fillId="8" borderId="38" xfId="0" applyFont="1" applyFill="1" applyBorder="1"/>
    <xf numFmtId="0" fontId="5" fillId="11" borderId="38" xfId="0" applyFont="1" applyFill="1" applyBorder="1"/>
    <xf numFmtId="0" fontId="0" fillId="8" borderId="16" xfId="0" applyFill="1" applyBorder="1"/>
    <xf numFmtId="0" fontId="0" fillId="11" borderId="16" xfId="0" applyFill="1" applyBorder="1"/>
    <xf numFmtId="0" fontId="0" fillId="8" borderId="4" xfId="0" applyFill="1" applyBorder="1"/>
    <xf numFmtId="0" fontId="0" fillId="11" borderId="42" xfId="0" applyFill="1" applyBorder="1"/>
    <xf numFmtId="0" fontId="5" fillId="8" borderId="0" xfId="0" applyFont="1" applyFill="1" applyAlignment="1">
      <alignment horizontal="center" vertical="center"/>
    </xf>
    <xf numFmtId="0" fontId="5" fillId="8" borderId="9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/>
    </xf>
    <xf numFmtId="0" fontId="5" fillId="12" borderId="32" xfId="0" applyFont="1" applyFill="1" applyBorder="1"/>
    <xf numFmtId="0" fontId="5" fillId="8" borderId="38" xfId="0" applyFont="1" applyFill="1" applyBorder="1" applyAlignment="1">
      <alignment horizontal="center"/>
    </xf>
    <xf numFmtId="0" fontId="0" fillId="11" borderId="0" xfId="0" applyFill="1"/>
    <xf numFmtId="0" fontId="0" fillId="8" borderId="0" xfId="0" applyFill="1" applyAlignment="1">
      <alignment horizontal="center"/>
    </xf>
    <xf numFmtId="171" fontId="0" fillId="11" borderId="0" xfId="2" applyNumberFormat="1" applyFont="1" applyFill="1"/>
    <xf numFmtId="167" fontId="0" fillId="11" borderId="0" xfId="0" applyNumberFormat="1" applyFill="1" applyAlignment="1">
      <alignment horizontal="right"/>
    </xf>
    <xf numFmtId="167" fontId="0" fillId="8" borderId="0" xfId="0" applyNumberFormat="1" applyFill="1" applyAlignment="1">
      <alignment horizontal="right"/>
    </xf>
    <xf numFmtId="167" fontId="7" fillId="8" borderId="0" xfId="0" applyNumberFormat="1" applyFont="1" applyFill="1" applyAlignment="1">
      <alignment horizontal="right"/>
    </xf>
    <xf numFmtId="1" fontId="0" fillId="12" borderId="19" xfId="0" applyNumberFormat="1" applyFill="1" applyBorder="1"/>
    <xf numFmtId="1" fontId="0" fillId="12" borderId="29" xfId="0" applyNumberFormat="1" applyFill="1" applyBorder="1"/>
    <xf numFmtId="164" fontId="0" fillId="8" borderId="34" xfId="4" applyNumberFormat="1" applyFont="1" applyFill="1" applyBorder="1"/>
    <xf numFmtId="164" fontId="0" fillId="8" borderId="35" xfId="4" applyNumberFormat="1" applyFont="1" applyFill="1" applyBorder="1"/>
    <xf numFmtId="164" fontId="1" fillId="8" borderId="4" xfId="3" applyNumberFormat="1" applyFill="1" applyBorder="1"/>
    <xf numFmtId="0" fontId="3" fillId="5" borderId="0" xfId="0" applyFont="1" applyFill="1" applyAlignment="1">
      <alignment horizontal="center" vertical="center"/>
    </xf>
    <xf numFmtId="166" fontId="0" fillId="0" borderId="16" xfId="1" applyNumberFormat="1" applyFont="1" applyBorder="1" applyAlignment="1">
      <alignment vertical="center"/>
    </xf>
    <xf numFmtId="172" fontId="9" fillId="0" borderId="6" xfId="0" applyNumberFormat="1" applyFont="1" applyBorder="1" applyAlignment="1">
      <alignment horizontal="center" wrapText="1"/>
    </xf>
    <xf numFmtId="3" fontId="9" fillId="0" borderId="7" xfId="0" applyNumberFormat="1" applyFont="1" applyBorder="1" applyAlignment="1">
      <alignment horizontal="center" wrapText="1"/>
    </xf>
    <xf numFmtId="172" fontId="10" fillId="0" borderId="12" xfId="0" applyNumberFormat="1" applyFont="1" applyBorder="1" applyAlignment="1">
      <alignment horizontal="center"/>
    </xf>
    <xf numFmtId="3" fontId="10" fillId="0" borderId="13" xfId="0" applyNumberFormat="1" applyFont="1" applyBorder="1" applyAlignment="1">
      <alignment horizontal="center"/>
    </xf>
    <xf numFmtId="1" fontId="12" fillId="0" borderId="17" xfId="0" applyNumberFormat="1" applyFont="1" applyBorder="1"/>
    <xf numFmtId="3" fontId="12" fillId="0" borderId="0" xfId="0" applyNumberFormat="1" applyFont="1"/>
    <xf numFmtId="1" fontId="12" fillId="0" borderId="8" xfId="0" applyNumberFormat="1" applyFont="1" applyBorder="1"/>
    <xf numFmtId="3" fontId="12" fillId="0" borderId="9" xfId="0" applyNumberFormat="1" applyFont="1" applyBorder="1"/>
    <xf numFmtId="43" fontId="0" fillId="0" borderId="6" xfId="1" applyFont="1" applyBorder="1" applyAlignment="1">
      <alignment vertical="center"/>
    </xf>
    <xf numFmtId="0" fontId="3" fillId="0" borderId="32" xfId="1" applyNumberFormat="1" applyFont="1" applyBorder="1" applyAlignment="1">
      <alignment vertical="center"/>
    </xf>
    <xf numFmtId="43" fontId="0" fillId="0" borderId="16" xfId="1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8" borderId="0" xfId="0" applyFont="1" applyFill="1"/>
    <xf numFmtId="0" fontId="14" fillId="9" borderId="4" xfId="0" applyFont="1" applyFill="1" applyBorder="1"/>
    <xf numFmtId="9" fontId="14" fillId="0" borderId="30" xfId="0" applyNumberFormat="1" applyFont="1" applyBorder="1" applyAlignment="1">
      <alignment vertical="center"/>
    </xf>
    <xf numFmtId="9" fontId="14" fillId="0" borderId="43" xfId="0" applyNumberFormat="1" applyFont="1" applyBorder="1" applyAlignment="1">
      <alignment vertical="center"/>
    </xf>
    <xf numFmtId="9" fontId="14" fillId="0" borderId="31" xfId="0" applyNumberFormat="1" applyFont="1" applyBorder="1" applyAlignment="1">
      <alignment vertical="center"/>
    </xf>
    <xf numFmtId="164" fontId="14" fillId="8" borderId="11" xfId="2" applyNumberFormat="1" applyFont="1" applyFill="1" applyBorder="1"/>
    <xf numFmtId="164" fontId="14" fillId="8" borderId="26" xfId="2" applyNumberFormat="1" applyFont="1" applyFill="1" applyBorder="1"/>
    <xf numFmtId="164" fontId="14" fillId="8" borderId="0" xfId="2" applyNumberFormat="1" applyFont="1" applyFill="1" applyBorder="1"/>
    <xf numFmtId="164" fontId="14" fillId="8" borderId="27" xfId="2" applyNumberFormat="1" applyFont="1" applyFill="1" applyBorder="1"/>
    <xf numFmtId="164" fontId="14" fillId="8" borderId="28" xfId="2" applyNumberFormat="1" applyFont="1" applyFill="1" applyBorder="1"/>
    <xf numFmtId="164" fontId="14" fillId="8" borderId="41" xfId="2" applyNumberFormat="1" applyFont="1" applyFill="1" applyBorder="1"/>
    <xf numFmtId="164" fontId="14" fillId="8" borderId="29" xfId="2" applyNumberFormat="1" applyFont="1" applyFill="1" applyBorder="1"/>
    <xf numFmtId="0" fontId="13" fillId="8" borderId="0" xfId="3" applyFont="1" applyFill="1"/>
    <xf numFmtId="0" fontId="13" fillId="9" borderId="4" xfId="3" applyFont="1" applyFill="1" applyBorder="1"/>
    <xf numFmtId="164" fontId="14" fillId="0" borderId="30" xfId="2" applyNumberFormat="1" applyFont="1" applyBorder="1" applyAlignment="1">
      <alignment vertical="center"/>
    </xf>
    <xf numFmtId="164" fontId="14" fillId="0" borderId="43" xfId="2" applyNumberFormat="1" applyFont="1" applyBorder="1" applyAlignment="1">
      <alignment vertical="center"/>
    </xf>
    <xf numFmtId="164" fontId="14" fillId="0" borderId="31" xfId="2" applyNumberFormat="1" applyFont="1" applyBorder="1" applyAlignment="1">
      <alignment vertical="center"/>
    </xf>
    <xf numFmtId="172" fontId="12" fillId="0" borderId="0" xfId="0" applyNumberFormat="1" applyFont="1"/>
    <xf numFmtId="172" fontId="12" fillId="0" borderId="9" xfId="0" applyNumberFormat="1" applyFont="1" applyBorder="1"/>
    <xf numFmtId="0" fontId="0" fillId="9" borderId="0" xfId="0" applyFill="1"/>
    <xf numFmtId="172" fontId="0" fillId="0" borderId="0" xfId="0" applyNumberFormat="1"/>
    <xf numFmtId="0" fontId="0" fillId="9" borderId="9" xfId="0" applyFill="1" applyBorder="1"/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3" fontId="9" fillId="0" borderId="14" xfId="0" applyNumberFormat="1" applyFont="1" applyBorder="1" applyAlignment="1">
      <alignment horizontal="center"/>
    </xf>
    <xf numFmtId="3" fontId="9" fillId="0" borderId="44" xfId="0" applyNumberFormat="1" applyFont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wrapText="1"/>
    </xf>
    <xf numFmtId="0" fontId="5" fillId="8" borderId="25" xfId="0" applyFont="1" applyFill="1" applyBorder="1" applyAlignment="1">
      <alignment horizontal="center" wrapText="1"/>
    </xf>
    <xf numFmtId="0" fontId="8" fillId="9" borderId="1" xfId="0" applyFont="1" applyFill="1" applyBorder="1" applyAlignment="1">
      <alignment horizontal="left"/>
    </xf>
    <xf numFmtId="0" fontId="8" fillId="9" borderId="2" xfId="0" applyFont="1" applyFill="1" applyBorder="1" applyAlignment="1">
      <alignment horizontal="left"/>
    </xf>
    <xf numFmtId="0" fontId="8" fillId="9" borderId="19" xfId="0" applyFont="1" applyFill="1" applyBorder="1" applyAlignment="1">
      <alignment horizontal="left"/>
    </xf>
    <xf numFmtId="0" fontId="5" fillId="8" borderId="33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8" borderId="25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 vertical="center"/>
    </xf>
    <xf numFmtId="43" fontId="0" fillId="0" borderId="15" xfId="1" applyFont="1" applyBorder="1" applyAlignment="1">
      <alignment vertical="center"/>
    </xf>
    <xf numFmtId="43" fontId="0" fillId="0" borderId="6" xfId="1" applyNumberFormat="1" applyFont="1" applyBorder="1" applyAlignment="1">
      <alignment vertical="center"/>
    </xf>
    <xf numFmtId="43" fontId="0" fillId="0" borderId="0" xfId="1" applyNumberFormat="1" applyFont="1" applyBorder="1" applyAlignment="1">
      <alignment vertical="center"/>
    </xf>
    <xf numFmtId="172" fontId="0" fillId="0" borderId="9" xfId="0" applyNumberFormat="1" applyBorder="1"/>
    <xf numFmtId="43" fontId="0" fillId="0" borderId="16" xfId="1" applyNumberFormat="1" applyFont="1" applyBorder="1" applyAlignment="1">
      <alignment vertical="center"/>
    </xf>
    <xf numFmtId="43" fontId="0" fillId="0" borderId="9" xfId="1" applyNumberFormat="1" applyFont="1" applyBorder="1" applyAlignment="1">
      <alignment vertical="center"/>
    </xf>
  </cellXfs>
  <cellStyles count="5">
    <cellStyle name="Comma" xfId="1" builtinId="3"/>
    <cellStyle name="Currency" xfId="2" builtinId="4"/>
    <cellStyle name="Currency 2" xfId="4" xr:uid="{52C67253-137C-054E-8A67-B6BB1B7F5B39}"/>
    <cellStyle name="Normal" xfId="0" builtinId="0"/>
    <cellStyle name="Normal 2" xfId="3" xr:uid="{47969FCF-2557-DB47-B5E0-28647A26FA60}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ICER - Strategy </a:t>
            </a:r>
            <a:r>
              <a:rPr lang="en-US" altLang="zh-CN"/>
              <a:t>A</a:t>
            </a:r>
            <a:r>
              <a:rPr lang="en-US"/>
              <a:t> - Tornado</a:t>
            </a:r>
            <a:r>
              <a:rPr lang="en-US" baseline="0"/>
              <a:t>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'One-way DSA'!$H$3</c:f>
              <c:strCache>
                <c:ptCount val="1"/>
                <c:pt idx="0">
                  <c:v>lower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'One-way DSA'!$G$4:$G$5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DSA'!$H$4:$H$5</c:f>
              <c:numCache>
                <c:formatCode>_("$"* #,##0_);_("$"* \(#,##0\);_("$"* "-"??_);_(@_)</c:formatCode>
                <c:ptCount val="2"/>
                <c:pt idx="0">
                  <c:v>75242.790515618355</c:v>
                </c:pt>
                <c:pt idx="1">
                  <c:v>57410.500160241951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96-244E-968F-D81E3A410A7D}"/>
            </c:ext>
          </c:extLst>
        </c:ser>
        <c:ser>
          <c:idx val="1"/>
          <c:order val="1"/>
          <c:tx>
            <c:strRef>
              <c:f>'One-way DSA'!$I$3</c:f>
              <c:strCache>
                <c:ptCount val="1"/>
                <c:pt idx="0">
                  <c:v>upper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'One-way DSA'!$G$4:$G$5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DSA'!$I$4:$I$5</c:f>
              <c:numCache>
                <c:formatCode>_("$"* #,##0_);_("$"* \(#,##0\);_("$"* "-"??_);_(@_)</c:formatCode>
                <c:ptCount val="2"/>
                <c:pt idx="0">
                  <c:v>-74864.766072869606</c:v>
                </c:pt>
                <c:pt idx="1">
                  <c:v>-79614.840828655011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96-244E-968F-D81E3A410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100"/>
        <c:axId val="715851055"/>
        <c:axId val="715853615"/>
      </c:barChart>
      <c:catAx>
        <c:axId val="715851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53615"/>
        <c:crossesAt val="50479"/>
        <c:auto val="1"/>
        <c:lblAlgn val="ctr"/>
        <c:lblOffset val="100"/>
        <c:noMultiLvlLbl val="0"/>
      </c:catAx>
      <c:valAx>
        <c:axId val="715853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5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</a:t>
            </a:r>
            <a:r>
              <a:rPr lang="en-US" baseline="0"/>
              <a:t> Monetary Benefit - Strategy D - Tornado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'One-way DSA'!$M$3</c:f>
              <c:strCache>
                <c:ptCount val="1"/>
                <c:pt idx="0">
                  <c:v>lower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'One-way DSA'!$L$4:$L$5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DSA'!$M$4:$M$5</c:f>
              <c:numCache>
                <c:formatCode>_("$"* #,##0_);_("$"* \(#,##0\);_("$"* "-"??_);_(@_)</c:formatCode>
                <c:ptCount val="2"/>
                <c:pt idx="0">
                  <c:v>6259327.7429329008</c:v>
                </c:pt>
                <c:pt idx="1">
                  <c:v>18085488.708717667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7-1842-87D2-0A8DFF1C4DC2}"/>
            </c:ext>
          </c:extLst>
        </c:ser>
        <c:ser>
          <c:idx val="1"/>
          <c:order val="1"/>
          <c:tx>
            <c:strRef>
              <c:f>'One-way DSA'!$N$3</c:f>
              <c:strCache>
                <c:ptCount val="1"/>
                <c:pt idx="0">
                  <c:v>upper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7C-4F46-B253-EDC5EE2F18E1}"/>
              </c:ext>
            </c:extLst>
          </c:dPt>
          <c:cat>
            <c:strRef>
              <c:f>'One-way DSA'!$L$4:$L$5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DSA'!$N$4:$N$5</c:f>
              <c:numCache>
                <c:formatCode>_("$"* #,##0_);_("$"* \(#,##0\);_("$"* "-"??_);_(@_)</c:formatCode>
                <c:ptCount val="2"/>
                <c:pt idx="0">
                  <c:v>-7293816.2788028866</c:v>
                </c:pt>
                <c:pt idx="1">
                  <c:v>-3538524.9212962985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C7-1842-87D2-0A8DFF1C4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100"/>
        <c:axId val="715643727"/>
        <c:axId val="716153935"/>
      </c:barChart>
      <c:catAx>
        <c:axId val="715643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153935"/>
        <c:crossesAt val="1724622"/>
        <c:auto val="1"/>
        <c:lblAlgn val="ctr"/>
        <c:lblOffset val="100"/>
        <c:noMultiLvlLbl val="0"/>
      </c:catAx>
      <c:valAx>
        <c:axId val="71615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64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251215</xdr:colOff>
      <xdr:row>8</xdr:row>
      <xdr:rowOff>140702</xdr:rowOff>
    </xdr:from>
    <xdr:to>
      <xdr:col>10</xdr:col>
      <xdr:colOff>701285</xdr:colOff>
      <xdr:row>21</xdr:row>
      <xdr:rowOff>176797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1AF5EF-A711-3E41-A5B6-E46288FBEA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56258</xdr:colOff>
      <xdr:row>8</xdr:row>
      <xdr:rowOff>140701</xdr:rowOff>
    </xdr:from>
    <xdr:to>
      <xdr:col>16</xdr:col>
      <xdr:colOff>506329</xdr:colOff>
      <xdr:row>21</xdr:row>
      <xdr:rowOff>176796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D0A454-E4E6-2946-BC2D-EA7AA5684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raves, John" id="{B0E864B5-E1C7-0345-BA30-FA830D821969}" userId="S::john.graves@vumc.org::c41a603e-b262-41f8-9584-44a3aec69ed5" providerId="AD"/>
  <person displayName="Yu, Hanxuan A" id="{01B40F01-CEFB-D948-898E-FF33202415C2}" userId="S::hanxuan.a.yu@vumc.org::ecf80d46-c22a-44c6-ac2d-1fafbed2376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214ABA1A-CE0A-E446-B19E-8F11BD115EBD}">
    <text>MMULT(TRACE, COST_PAYOFF)</text>
  </threadedComment>
  <threadedComment ref="Q1" dT="2022-09-16T13:31:29.76" personId="{B0E864B5-E1C7-0345-BA30-FA830D821969}" id="{13E2F207-3E0A-AF43-B404-DCBECB52B4DA}">
    <text>MMULT(TRACE,QALY_PAYOFF)</text>
  </threadedComment>
  <threadedComment ref="S1" dT="2022-09-16T13:30:44.25" personId="{B0E864B5-E1C7-0345-BA30-FA830D821969}" id="{B8C85DC4-1045-F54F-97D7-D46D15A15813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920D4A3B-EE62-6147-B79E-6A96D806CA7D}">
    <text xml:space="preserve">1/3 in the first and last cycle.
Alternate 2/3, then 4/3 in-between. </text>
  </threadedComment>
  <threadedComment ref="X1" dT="2022-09-16T13:31:42.88" personId="{B0E864B5-E1C7-0345-BA30-FA830D821969}" id="{B0F235B5-D5AD-354D-BF69-568ADAED679E}">
    <text>Total Costs * Cycle Adjustment</text>
  </threadedComment>
  <threadedComment ref="Y1" dT="2022-09-16T13:31:53.51" personId="{B0E864B5-E1C7-0345-BA30-FA830D821969}" id="{A9B29AFB-8188-FC4E-B689-D9E16723785A}">
    <text xml:space="preserve">Total QALYs * Cycle Adjustment
</text>
  </threadedComment>
  <threadedComment ref="AA2" dT="2022-09-16T13:32:26.06" personId="{B0E864B5-E1C7-0345-BA30-FA830D821969}" id="{646DA126-87FB-C24B-B78B-8221D12D64B0}">
    <text xml:space="preserve">MMULT(TRANSPOSE(cost_adjustment),total costs)
</text>
  </threadedComment>
  <threadedComment ref="AA3" dT="2022-09-16T13:32:37.66" personId="{B0E864B5-E1C7-0345-BA30-FA830D821969}" id="{6532F39A-9A04-9146-B89A-DFCF4DB83267}">
    <text>MMULT(TRANSPOSE(qaly_adjustment),total qualms)</text>
  </threadedComment>
  <threadedComment ref="AB3" dT="2022-11-04T16:40:27.22" personId="{01B40F01-CEFB-D948-898E-FF33202415C2}" id="{89B59A91-F985-8A4A-8BFF-47EFC2F2774E}">
    <text>Here include the cycle 0(333), while the original one didn’t include. Can just delete the cycle0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B5F2D97F-0054-934B-9623-64F468E51495}">
    <text>MMULT(TRACE, COST_PAYOFF)</text>
  </threadedComment>
  <threadedComment ref="Q1" dT="2022-09-16T13:31:29.76" personId="{B0E864B5-E1C7-0345-BA30-FA830D821969}" id="{70BF3488-AB96-7B45-89A2-F5A19B4799EC}">
    <text>MMULT(TRACE,QALY_PAYOFF)</text>
  </threadedComment>
  <threadedComment ref="S1" dT="2022-09-16T13:30:44.25" personId="{B0E864B5-E1C7-0345-BA30-FA830D821969}" id="{CEE95008-1C12-2D42-BDC4-9496B59C808A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99B586DE-FE40-504D-8C89-8154561726A3}">
    <text xml:space="preserve">1/3 in the first and last cycle.
Alternate 2/3, then 4/3 in-between. </text>
  </threadedComment>
  <threadedComment ref="X1" dT="2022-09-16T13:31:42.88" personId="{B0E864B5-E1C7-0345-BA30-FA830D821969}" id="{817C0A11-5CA7-E047-B500-05EBC9CC19FC}">
    <text>Total Costs * Cycle Adjustment</text>
  </threadedComment>
  <threadedComment ref="Y1" dT="2022-09-16T13:31:53.51" personId="{B0E864B5-E1C7-0345-BA30-FA830D821969}" id="{C2B9D41A-5C9E-2844-99D6-6EA58722C2B5}">
    <text xml:space="preserve">Total QALYs * Cycle Adjustment
</text>
  </threadedComment>
  <threadedComment ref="AA2" dT="2022-09-16T13:32:26.06" personId="{B0E864B5-E1C7-0345-BA30-FA830D821969}" id="{7E3055AE-2441-044F-AE29-AE215E257B6B}">
    <text xml:space="preserve">MMULT(TRANSPOSE(cost_adjustment),total costs)
</text>
  </threadedComment>
  <threadedComment ref="AA3" dT="2022-09-16T13:32:37.66" personId="{B0E864B5-E1C7-0345-BA30-FA830D821969}" id="{76FDF45E-118C-824C-9782-4E7496E74369}">
    <text>MMULT(TRANSPOSE(qaly_adjustment),total qualms)</text>
  </threadedComment>
  <threadedComment ref="AB3" dT="2022-11-04T16:40:27.22" personId="{01B40F01-CEFB-D948-898E-FF33202415C2}" id="{62424B44-BC7D-4D4F-B6A8-5DE171AB1891}">
    <text>Here include the cycle 0(333), while the original one didn’t include. Can just delete the cycle0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9C9C2E77-7C3B-2745-A163-300DEF234BD4}">
    <text>MMULT(TRACE, COST_PAYOFF)</text>
  </threadedComment>
  <threadedComment ref="Q1" dT="2022-09-16T13:31:29.76" personId="{B0E864B5-E1C7-0345-BA30-FA830D821969}" id="{E3698469-7063-004C-B272-B2150DFA234F}">
    <text>MMULT(TRACE,QALY_PAYOFF)</text>
  </threadedComment>
  <threadedComment ref="S1" dT="2022-09-16T13:30:44.25" personId="{B0E864B5-E1C7-0345-BA30-FA830D821969}" id="{BF061D60-8917-DF4A-B718-4922F2755DD4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EC6F8FDB-A346-5D4F-8A4A-8529D9EFD481}">
    <text xml:space="preserve">1/3 in the first and last cycle.
Alternate 2/3, then 4/3 in-between. </text>
  </threadedComment>
  <threadedComment ref="X1" dT="2022-09-16T13:31:42.88" personId="{B0E864B5-E1C7-0345-BA30-FA830D821969}" id="{FD4DC96B-9DF6-644F-9C07-DFF554E6004A}">
    <text>Total Costs * Cycle Adjustment</text>
  </threadedComment>
  <threadedComment ref="Y1" dT="2022-09-16T13:31:53.51" personId="{B0E864B5-E1C7-0345-BA30-FA830D821969}" id="{C2CB2625-68C3-4B42-A02B-0DC09209EAEE}">
    <text xml:space="preserve">Total QALYs * Cycle Adjustment
</text>
  </threadedComment>
  <threadedComment ref="AA2" dT="2022-09-16T13:32:26.06" personId="{B0E864B5-E1C7-0345-BA30-FA830D821969}" id="{3EC12DA1-3300-3641-A973-1731B508E4E0}">
    <text xml:space="preserve">MMULT(TRANSPOSE(cost_adjustment),total costs)
</text>
  </threadedComment>
  <threadedComment ref="AA3" dT="2022-09-16T13:32:37.66" personId="{B0E864B5-E1C7-0345-BA30-FA830D821969}" id="{FE779CE5-7FA6-5146-86AD-D60DECC8C5DC}">
    <text>MMULT(TRANSPOSE(qaly_adjustment),total qualms)</text>
  </threadedComment>
  <threadedComment ref="AB3" dT="2022-11-04T16:40:27.22" personId="{01B40F01-CEFB-D948-898E-FF33202415C2}" id="{F7CE99EA-87FD-7941-8866-2638B34C5DC0}">
    <text>Here include the cycle 0(333), while the original one didn’t include. Can just delete the cycle0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4D5EBB8C-15B6-3E44-91BE-607E64FF9A61}">
    <text>MMULT(TRACE, COST_PAYOFF)</text>
  </threadedComment>
  <threadedComment ref="Q1" dT="2022-09-16T13:31:29.76" personId="{B0E864B5-E1C7-0345-BA30-FA830D821969}" id="{EA836A97-EFD3-9047-B5F9-4C01BA94F810}">
    <text>MMULT(TRACE,QALY_PAYOFF)</text>
  </threadedComment>
  <threadedComment ref="S1" dT="2022-09-16T13:30:44.25" personId="{B0E864B5-E1C7-0345-BA30-FA830D821969}" id="{E38611E2-A605-8945-B5A0-A570097B032D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7B0E80BB-9FF6-5341-AA6D-DE49E731C6E0}">
    <text xml:space="preserve">1/3 in the first and last cycle.
Alternate 2/3, then 4/3 in-between. </text>
  </threadedComment>
  <threadedComment ref="X1" dT="2022-09-16T13:31:42.88" personId="{B0E864B5-E1C7-0345-BA30-FA830D821969}" id="{275F5540-89B1-B148-848F-7795AB76261A}">
    <text>Total Costs * Cycle Adjustment</text>
  </threadedComment>
  <threadedComment ref="Y1" dT="2022-09-16T13:31:53.51" personId="{B0E864B5-E1C7-0345-BA30-FA830D821969}" id="{021D8822-FD1C-094E-B356-3ECFF24C9C72}">
    <text xml:space="preserve">Total QALYs * Cycle Adjustment
</text>
  </threadedComment>
  <threadedComment ref="AA2" dT="2022-09-16T13:32:26.06" personId="{B0E864B5-E1C7-0345-BA30-FA830D821969}" id="{1714EE46-FA92-D140-9725-D702FA3721F5}">
    <text xml:space="preserve">MMULT(TRANSPOSE(cost_adjustment),total costs)
</text>
  </threadedComment>
  <threadedComment ref="AA3" dT="2022-09-16T13:32:37.66" personId="{B0E864B5-E1C7-0345-BA30-FA830D821969}" id="{F776CFC1-4CD7-AD4C-94E3-30A4422CAB48}">
    <text>MMULT(TRANSPOSE(qaly_adjustment),total qualms)</text>
  </threadedComment>
  <threadedComment ref="AB3" dT="2022-11-04T16:40:27.22" personId="{01B40F01-CEFB-D948-898E-FF33202415C2}" id="{6DDC40EE-DDA3-D744-8553-19492D741AAB}">
    <text>Here include the cycle 0(333), while the original one didn’t include. Can just delete the cycle0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0"/>
  <sheetViews>
    <sheetView tabSelected="1" topLeftCell="B1" zoomScale="141" workbookViewId="0">
      <pane ySplit="1" topLeftCell="A3" activePane="bottomLeft" state="frozen"/>
      <selection pane="bottomLeft" activeCell="F6" sqref="F6"/>
    </sheetView>
  </sheetViews>
  <sheetFormatPr baseColWidth="10" defaultColWidth="8.83203125" defaultRowHeight="15" x14ac:dyDescent="0.2"/>
  <cols>
    <col min="1" max="1" width="12.33203125" style="1" bestFit="1" customWidth="1"/>
    <col min="2" max="2" width="67.33203125" style="1" bestFit="1" customWidth="1"/>
    <col min="3" max="3" width="7.5" style="1" bestFit="1" customWidth="1"/>
    <col min="4" max="5" width="11.6640625" style="1" bestFit="1" customWidth="1"/>
    <col min="6" max="6" width="12.6640625" style="1" bestFit="1" customWidth="1"/>
    <col min="7" max="7" width="20.6640625" style="1" bestFit="1" customWidth="1"/>
    <col min="10" max="10" width="12.1640625" style="1" bestFit="1" customWidth="1"/>
    <col min="11" max="12" width="12.33203125" style="1" bestFit="1" customWidth="1"/>
    <col min="13" max="13" width="9.5" style="1" bestFit="1" customWidth="1"/>
    <col min="14" max="16384" width="8.83203125" style="1"/>
  </cols>
  <sheetData>
    <row r="1" spans="1:13" ht="16" thickBot="1" x14ac:dyDescent="0.25">
      <c r="A1" s="50" t="s">
        <v>81</v>
      </c>
      <c r="B1" s="50" t="s">
        <v>0</v>
      </c>
      <c r="C1" s="50" t="s">
        <v>138</v>
      </c>
      <c r="D1" s="50" t="s">
        <v>90</v>
      </c>
      <c r="E1" s="50" t="s">
        <v>91</v>
      </c>
      <c r="F1" s="50" t="s">
        <v>1</v>
      </c>
      <c r="G1" s="50" t="s">
        <v>2</v>
      </c>
    </row>
    <row r="2" spans="1:13" ht="16" thickTop="1" x14ac:dyDescent="0.2">
      <c r="A2" s="207" t="s">
        <v>82</v>
      </c>
      <c r="B2" s="51" t="s">
        <v>24</v>
      </c>
      <c r="C2" s="51"/>
      <c r="D2" s="52"/>
      <c r="E2" s="52"/>
      <c r="F2" s="52">
        <v>1000</v>
      </c>
      <c r="G2" s="51" t="s">
        <v>25</v>
      </c>
      <c r="H2" s="1"/>
    </row>
    <row r="3" spans="1:13" x14ac:dyDescent="0.2">
      <c r="A3" s="205"/>
      <c r="B3" s="1" t="s">
        <v>238</v>
      </c>
      <c r="D3" s="19"/>
      <c r="E3" s="19"/>
      <c r="F3" s="19">
        <v>30</v>
      </c>
      <c r="G3" s="1" t="s">
        <v>237</v>
      </c>
      <c r="H3" s="1"/>
    </row>
    <row r="4" spans="1:13" x14ac:dyDescent="0.2">
      <c r="A4" s="205"/>
      <c r="B4" s="1" t="s">
        <v>235</v>
      </c>
      <c r="D4" s="19"/>
      <c r="E4" s="19"/>
      <c r="F4" s="19">
        <v>1</v>
      </c>
      <c r="G4" s="1" t="s">
        <v>236</v>
      </c>
      <c r="H4" s="1"/>
    </row>
    <row r="5" spans="1:13" x14ac:dyDescent="0.2">
      <c r="A5" s="205"/>
      <c r="B5" s="1" t="s">
        <v>154</v>
      </c>
      <c r="D5" s="19"/>
      <c r="E5" s="19"/>
      <c r="F5" s="19">
        <v>5200</v>
      </c>
      <c r="G5" s="1" t="s">
        <v>155</v>
      </c>
      <c r="H5" s="1"/>
    </row>
    <row r="6" spans="1:13" x14ac:dyDescent="0.2">
      <c r="A6" s="206"/>
      <c r="B6" s="41" t="s">
        <v>78</v>
      </c>
      <c r="C6" s="41"/>
      <c r="D6" s="45"/>
      <c r="E6" s="45"/>
      <c r="F6" s="45">
        <v>0.03</v>
      </c>
      <c r="G6" s="41" t="s">
        <v>79</v>
      </c>
      <c r="H6" s="1"/>
    </row>
    <row r="7" spans="1:13" x14ac:dyDescent="0.2">
      <c r="A7" s="201" t="s">
        <v>83</v>
      </c>
      <c r="B7" s="39" t="s">
        <v>26</v>
      </c>
      <c r="C7" s="39"/>
      <c r="D7" s="43"/>
      <c r="E7" s="43"/>
      <c r="F7" s="43">
        <v>0.05</v>
      </c>
      <c r="G7" s="39" t="s">
        <v>27</v>
      </c>
      <c r="H7" s="1"/>
    </row>
    <row r="8" spans="1:13" x14ac:dyDescent="0.2">
      <c r="A8" s="202"/>
      <c r="B8" s="1" t="s">
        <v>28</v>
      </c>
      <c r="D8" s="44"/>
      <c r="E8" s="44"/>
      <c r="F8" s="44">
        <v>0.02</v>
      </c>
      <c r="G8" s="1" t="s">
        <v>30</v>
      </c>
      <c r="H8" s="1"/>
    </row>
    <row r="9" spans="1:13" x14ac:dyDescent="0.2">
      <c r="A9" s="202"/>
      <c r="B9" s="1" t="s">
        <v>29</v>
      </c>
      <c r="D9" s="44"/>
      <c r="E9" s="44"/>
      <c r="F9" s="44">
        <v>0.01</v>
      </c>
      <c r="G9" s="1" t="s">
        <v>31</v>
      </c>
      <c r="H9" s="1"/>
    </row>
    <row r="10" spans="1:13" x14ac:dyDescent="0.2">
      <c r="A10" s="202"/>
      <c r="B10" s="1" t="s">
        <v>32</v>
      </c>
      <c r="D10" s="44"/>
      <c r="E10" s="44"/>
      <c r="F10" s="44">
        <v>0.1</v>
      </c>
      <c r="G10" s="1" t="s">
        <v>34</v>
      </c>
      <c r="H10" s="1"/>
    </row>
    <row r="11" spans="1:13" x14ac:dyDescent="0.2">
      <c r="A11" s="202"/>
      <c r="B11" s="1" t="s">
        <v>33</v>
      </c>
      <c r="D11" s="44"/>
      <c r="E11" s="44"/>
      <c r="F11" s="44">
        <v>0.25</v>
      </c>
      <c r="G11" s="1" t="s">
        <v>35</v>
      </c>
      <c r="H11" s="1"/>
    </row>
    <row r="12" spans="1:13" x14ac:dyDescent="0.2">
      <c r="A12" s="202"/>
      <c r="B12" s="1" t="s">
        <v>36</v>
      </c>
      <c r="D12" s="44"/>
      <c r="E12" s="44"/>
      <c r="F12" s="44">
        <v>0.05</v>
      </c>
      <c r="G12" s="1" t="s">
        <v>39</v>
      </c>
      <c r="H12" s="1"/>
      <c r="I12" s="1"/>
    </row>
    <row r="13" spans="1:13" x14ac:dyDescent="0.2">
      <c r="A13" s="202"/>
      <c r="B13" s="1" t="s">
        <v>37</v>
      </c>
      <c r="D13" s="44"/>
      <c r="E13" s="44"/>
      <c r="F13" s="44">
        <v>0.15</v>
      </c>
      <c r="G13" s="1" t="s">
        <v>40</v>
      </c>
      <c r="H13" s="1"/>
      <c r="I13" s="178"/>
      <c r="J13" s="178"/>
      <c r="K13" s="178"/>
      <c r="L13" s="178"/>
      <c r="M13" s="178" t="s">
        <v>248</v>
      </c>
    </row>
    <row r="14" spans="1:13" x14ac:dyDescent="0.2">
      <c r="A14" s="202"/>
      <c r="B14" s="1" t="s">
        <v>38</v>
      </c>
      <c r="D14" s="44"/>
      <c r="E14" s="44"/>
      <c r="F14" s="44">
        <v>0.2</v>
      </c>
      <c r="G14" s="1" t="s">
        <v>41</v>
      </c>
      <c r="H14" s="1"/>
      <c r="I14" s="179"/>
      <c r="J14" s="179"/>
      <c r="K14" s="179" t="s">
        <v>151</v>
      </c>
      <c r="L14" s="179" t="s">
        <v>152</v>
      </c>
      <c r="M14" s="178" t="s">
        <v>247</v>
      </c>
    </row>
    <row r="15" spans="1:13" ht="16" thickBot="1" x14ac:dyDescent="0.25">
      <c r="A15" s="202"/>
      <c r="B15" s="1" t="s">
        <v>42</v>
      </c>
      <c r="D15" s="44"/>
      <c r="E15" s="44"/>
      <c r="F15" s="80">
        <v>0.05</v>
      </c>
      <c r="G15" s="1" t="s">
        <v>44</v>
      </c>
      <c r="H15" s="1"/>
      <c r="I15" s="179" t="s">
        <v>45</v>
      </c>
      <c r="J15" s="180"/>
      <c r="K15" s="181">
        <f>D16</f>
        <v>0.35</v>
      </c>
      <c r="L15" s="182">
        <f>E16</f>
        <v>0.5</v>
      </c>
      <c r="M15" s="183">
        <v>0.26976</v>
      </c>
    </row>
    <row r="16" spans="1:13" x14ac:dyDescent="0.2">
      <c r="A16" s="202"/>
      <c r="B16" s="1" t="s">
        <v>43</v>
      </c>
      <c r="D16" s="80">
        <v>0.35</v>
      </c>
      <c r="E16" s="80">
        <v>0.5</v>
      </c>
      <c r="F16" s="80">
        <v>0.45</v>
      </c>
      <c r="G16" s="1" t="s">
        <v>45</v>
      </c>
      <c r="H16" s="1"/>
      <c r="I16" s="179" t="s">
        <v>19</v>
      </c>
      <c r="J16" s="184">
        <f>('Strategy 2 - Treatment A'!W34-'Strategy 1 - Status quo'!W34)/('Strategy 2 - Treatment A'!X34-'Strategy 1 - Status quo'!X34)</f>
        <v>75173.972694971962</v>
      </c>
      <c r="K16" s="185">
        <f t="dataTable" ref="K16:M17" dt2D="0" dtr="1" r1="F16"/>
        <v>76001.343413274924</v>
      </c>
      <c r="L16" s="186">
        <v>74864.766072870014</v>
      </c>
      <c r="M16" s="187">
        <v>76989.150282737217</v>
      </c>
    </row>
    <row r="17" spans="1:13" ht="16" thickBot="1" x14ac:dyDescent="0.25">
      <c r="A17" s="202"/>
      <c r="B17" s="1" t="s">
        <v>46</v>
      </c>
      <c r="D17" s="44"/>
      <c r="E17" s="44"/>
      <c r="F17" s="44">
        <v>0.1</v>
      </c>
      <c r="G17" s="1" t="s">
        <v>48</v>
      </c>
      <c r="H17" s="1"/>
      <c r="I17" s="179" t="s">
        <v>153</v>
      </c>
      <c r="J17" s="184">
        <f>'Strategy 2 - Treatment A'!X34*wtp-'Strategy 2 - Treatment A'!W34</f>
        <v>5058725.9239503294</v>
      </c>
      <c r="K17" s="188">
        <v>2767857.6025438756</v>
      </c>
      <c r="L17" s="189">
        <v>5909902.2168179899</v>
      </c>
      <c r="M17" s="190">
        <v>219.37992015480995</v>
      </c>
    </row>
    <row r="18" spans="1:13" x14ac:dyDescent="0.2">
      <c r="A18" s="202"/>
      <c r="B18" s="1" t="s">
        <v>47</v>
      </c>
      <c r="D18" s="44"/>
      <c r="E18" s="44"/>
      <c r="F18" s="44">
        <v>0.05</v>
      </c>
      <c r="G18" s="1" t="s">
        <v>49</v>
      </c>
      <c r="H18" s="1"/>
      <c r="I18" s="178"/>
      <c r="J18" s="178"/>
      <c r="K18" s="178"/>
      <c r="L18" s="178"/>
      <c r="M18" s="178"/>
    </row>
    <row r="19" spans="1:13" ht="15" customHeight="1" thickBot="1" x14ac:dyDescent="0.25">
      <c r="A19" s="202"/>
      <c r="B19" s="1" t="s">
        <v>94</v>
      </c>
      <c r="D19" s="44"/>
      <c r="E19" s="44"/>
      <c r="F19" s="44">
        <v>0.02</v>
      </c>
      <c r="G19" s="1" t="s">
        <v>86</v>
      </c>
      <c r="H19" s="1"/>
      <c r="I19" s="191" t="s">
        <v>101</v>
      </c>
      <c r="J19" s="192"/>
      <c r="K19" s="193">
        <f>D52</f>
        <v>8000</v>
      </c>
      <c r="L19" s="194">
        <f>E52</f>
        <v>10500</v>
      </c>
      <c r="M19" s="195">
        <v>10869.38</v>
      </c>
    </row>
    <row r="20" spans="1:13" ht="16" x14ac:dyDescent="0.2">
      <c r="A20" s="202"/>
      <c r="B20" s="1" t="s">
        <v>96</v>
      </c>
      <c r="D20" s="44"/>
      <c r="E20" s="44"/>
      <c r="F20" s="44">
        <v>0.01</v>
      </c>
      <c r="G20" s="1" t="s">
        <v>87</v>
      </c>
      <c r="H20" s="1"/>
      <c r="I20" s="191" t="s">
        <v>19</v>
      </c>
      <c r="J20" s="184">
        <f>('Strategy 2 - Treatment A'!W34-'Strategy 1 - Status quo'!W34)/('Strategy 2 - Treatment A'!X34-'Strategy 1 - Status quo'!X34)</f>
        <v>75173.972694971962</v>
      </c>
      <c r="K20" s="185">
        <f t="dataTable" ref="K20:M21" dt2D="0" dtr="1" r1="F52" ca="1"/>
        <v>57410.500160241631</v>
      </c>
      <c r="L20" s="186">
        <v>79614.840828654575</v>
      </c>
      <c r="M20" s="187">
        <v>82895.576571093887</v>
      </c>
    </row>
    <row r="21" spans="1:13" ht="17" thickBot="1" x14ac:dyDescent="0.25">
      <c r="A21" s="202"/>
      <c r="B21" s="1" t="s">
        <v>97</v>
      </c>
      <c r="D21" s="44"/>
      <c r="E21" s="44"/>
      <c r="F21" s="44">
        <v>0.08</v>
      </c>
      <c r="G21" s="1" t="s">
        <v>88</v>
      </c>
      <c r="H21" s="1"/>
      <c r="I21" s="191" t="s">
        <v>153</v>
      </c>
      <c r="J21" s="184">
        <f>'Strategy 2 - Treatment A'!X34*wtp-'Strategy 2 - Treatment A'!W34</f>
        <v>5058725.9239503294</v>
      </c>
      <c r="K21" s="188">
        <v>16696296.95388741</v>
      </c>
      <c r="L21" s="189">
        <v>2149333.1664660424</v>
      </c>
      <c r="M21" s="190">
        <v>-9.8270530104637146</v>
      </c>
    </row>
    <row r="22" spans="1:13" x14ac:dyDescent="0.2">
      <c r="A22" s="202"/>
      <c r="B22" s="1" t="s">
        <v>95</v>
      </c>
      <c r="D22" s="44"/>
      <c r="E22" s="44"/>
      <c r="F22" s="44">
        <v>0.03</v>
      </c>
      <c r="G22" s="1" t="s">
        <v>89</v>
      </c>
      <c r="H22" s="1"/>
      <c r="I22" s="1"/>
    </row>
    <row r="23" spans="1:13" x14ac:dyDescent="0.2">
      <c r="A23" s="202"/>
      <c r="B23" s="1" t="s">
        <v>98</v>
      </c>
      <c r="D23" s="44"/>
      <c r="E23" s="44"/>
      <c r="F23" s="44">
        <v>0.05</v>
      </c>
      <c r="G23" s="1" t="s">
        <v>92</v>
      </c>
      <c r="H23" s="1"/>
      <c r="I23" s="1"/>
    </row>
    <row r="24" spans="1:13" x14ac:dyDescent="0.2">
      <c r="A24" s="203"/>
      <c r="B24" s="41" t="s">
        <v>99</v>
      </c>
      <c r="C24" s="41"/>
      <c r="D24" s="45"/>
      <c r="E24" s="45"/>
      <c r="F24" s="45">
        <v>0.02</v>
      </c>
      <c r="G24" s="41" t="s">
        <v>93</v>
      </c>
      <c r="H24" s="1"/>
      <c r="I24" s="1"/>
    </row>
    <row r="25" spans="1:13" ht="16" customHeight="1" x14ac:dyDescent="0.2">
      <c r="A25" s="201" t="s">
        <v>104</v>
      </c>
      <c r="B25" s="39" t="s">
        <v>105</v>
      </c>
      <c r="C25" s="39"/>
      <c r="D25" s="43"/>
      <c r="E25" s="43"/>
      <c r="F25" s="81">
        <f>-LN(1-pHealthyStage1-pHealthyStage2-pHealthyStage3)*pHealthyStage1/(pHealthyStage1+pHealthyStage2+pHealthyStage3)</f>
        <v>5.2113505586906958E-2</v>
      </c>
      <c r="G25" s="39" t="s">
        <v>121</v>
      </c>
      <c r="H25" s="1"/>
      <c r="I25" s="1"/>
    </row>
    <row r="26" spans="1:13" ht="16" customHeight="1" x14ac:dyDescent="0.2">
      <c r="A26" s="202"/>
      <c r="B26" s="1" t="s">
        <v>106</v>
      </c>
      <c r="D26" s="44"/>
      <c r="E26" s="44"/>
      <c r="F26" s="82">
        <f>-LN(1-pHealthyStage1-pHealthyStage2-pHealthyStage3)*pHealthyStage2/(pHealthyStage1+pHealthyStage2+pHealthyStage3)</f>
        <v>2.0845402234762785E-2</v>
      </c>
      <c r="G26" s="1" t="s">
        <v>122</v>
      </c>
      <c r="H26" s="1"/>
      <c r="I26" s="1"/>
    </row>
    <row r="27" spans="1:13" ht="16" customHeight="1" x14ac:dyDescent="0.2">
      <c r="A27" s="202"/>
      <c r="B27" s="1" t="s">
        <v>107</v>
      </c>
      <c r="D27" s="44"/>
      <c r="E27" s="44"/>
      <c r="F27" s="82">
        <f>-LN(1-pHealthyStage1-pHealthyStage2-pHealthyStage3)*pHealthyStage3/(pHealthyStage1+pHealthyStage2+pHealthyStage3)</f>
        <v>1.0422701117381392E-2</v>
      </c>
      <c r="G27" s="1" t="s">
        <v>123</v>
      </c>
      <c r="H27" s="1"/>
      <c r="I27" s="1"/>
    </row>
    <row r="28" spans="1:13" ht="16" customHeight="1" x14ac:dyDescent="0.2">
      <c r="A28" s="202"/>
      <c r="B28" s="1" t="s">
        <v>108</v>
      </c>
      <c r="D28" s="44"/>
      <c r="E28" s="44"/>
      <c r="F28" s="82">
        <f>-LN(1-pStage1Remission-pStage1Stage2)*pStage1Stage2/(pStage1Remission+pStage1Stage2)</f>
        <v>0.12308083316927264</v>
      </c>
      <c r="G28" s="1" t="s">
        <v>124</v>
      </c>
      <c r="H28" s="1"/>
      <c r="I28" s="1"/>
    </row>
    <row r="29" spans="1:13" ht="16" customHeight="1" x14ac:dyDescent="0.2">
      <c r="A29" s="202"/>
      <c r="B29" s="1" t="s">
        <v>109</v>
      </c>
      <c r="D29" s="44"/>
      <c r="E29" s="44"/>
      <c r="F29" s="82">
        <f>-LN(1-pStage1Remission-pStage1Stage2)*pStage1Remission/(pStage1Remission+pStage1Stage2)</f>
        <v>0.30770208292318163</v>
      </c>
      <c r="G29" s="1" t="s">
        <v>125</v>
      </c>
      <c r="H29" s="1"/>
      <c r="I29" s="1"/>
    </row>
    <row r="30" spans="1:13" ht="16" customHeight="1" x14ac:dyDescent="0.2">
      <c r="A30" s="202"/>
      <c r="B30" s="1" t="s">
        <v>111</v>
      </c>
      <c r="D30" s="44"/>
      <c r="E30" s="44"/>
      <c r="F30" s="82">
        <f>-LN(1-pStage2Remission-pStage2Stage1-pStage2Stage3)*pStage2Stage1/(pStage2Remission+pStage2Stage1+pStage2Stage3)</f>
        <v>6.385320297074884E-2</v>
      </c>
      <c r="G30" s="1" t="s">
        <v>126</v>
      </c>
      <c r="H30" s="1"/>
      <c r="I30" s="1"/>
    </row>
    <row r="31" spans="1:13" ht="16" customHeight="1" x14ac:dyDescent="0.2">
      <c r="A31" s="202"/>
      <c r="B31" s="1" t="s">
        <v>112</v>
      </c>
      <c r="D31" s="44"/>
      <c r="E31" s="44"/>
      <c r="F31" s="82">
        <f>-LN(1-pStage2Remission-pStage2Stage1-pStage2Stage3)*pStage2Stage3/(pStage2Remission+pStage2Stage1+pStage2Stage3)</f>
        <v>0.19155960891224652</v>
      </c>
      <c r="G31" s="1" t="s">
        <v>127</v>
      </c>
      <c r="H31" s="1"/>
      <c r="I31" s="1"/>
    </row>
    <row r="32" spans="1:13" ht="16" customHeight="1" x14ac:dyDescent="0.2">
      <c r="A32" s="202"/>
      <c r="B32" s="1" t="s">
        <v>110</v>
      </c>
      <c r="E32" s="44"/>
      <c r="F32" s="82">
        <f>-LN(1-pStage2Remission-pStage2Stage1-pStage2Stage3)*pStage2Remission/(pStage2Remission+pStage2Stage1+pStage2Stage3)</f>
        <v>0.25541281188299536</v>
      </c>
      <c r="G32" s="1" t="s">
        <v>128</v>
      </c>
      <c r="H32" s="1"/>
      <c r="I32" s="1"/>
    </row>
    <row r="33" spans="1:9" ht="16" customHeight="1" x14ac:dyDescent="0.2">
      <c r="A33" s="202"/>
      <c r="B33" s="1" t="s">
        <v>113</v>
      </c>
      <c r="D33" s="44"/>
      <c r="E33" s="44"/>
      <c r="F33" s="82">
        <f>-LN(1-pStage3Death-pStage3Stage2)*pStage3Stage2/(pStage3Death+pStage3Stage2)</f>
        <v>6.9314718055994526E-2</v>
      </c>
      <c r="G33" s="1" t="s">
        <v>129</v>
      </c>
      <c r="H33" s="1"/>
      <c r="I33" s="1"/>
    </row>
    <row r="34" spans="1:9" ht="16" customHeight="1" x14ac:dyDescent="0.2">
      <c r="A34" s="202"/>
      <c r="B34" s="1" t="s">
        <v>114</v>
      </c>
      <c r="D34" s="44"/>
      <c r="E34" s="44"/>
      <c r="F34" s="82">
        <f>-LN(1-pStage3Death-pStage3Stage2)*pStage3Death/(pStage3Death+pStage3Stage2)</f>
        <v>0.62383246250395075</v>
      </c>
      <c r="G34" s="1" t="s">
        <v>130</v>
      </c>
      <c r="H34" s="1"/>
      <c r="I34" s="1"/>
    </row>
    <row r="35" spans="1:9" ht="16" customHeight="1" x14ac:dyDescent="0.2">
      <c r="A35" s="202"/>
      <c r="B35" s="1" t="s">
        <v>178</v>
      </c>
      <c r="D35" s="44"/>
      <c r="E35" s="44"/>
      <c r="F35" s="82">
        <f>-LN(1-pRemissionStage1-pRemissionStage2)*pRemissionStage1/(pRemissionStage1+pRemissionStage2)</f>
        <v>0.10834595299851661</v>
      </c>
      <c r="G35" s="1" t="s">
        <v>180</v>
      </c>
      <c r="H35" s="1"/>
      <c r="I35" s="1"/>
    </row>
    <row r="36" spans="1:9" ht="16" customHeight="1" x14ac:dyDescent="0.2">
      <c r="A36" s="202"/>
      <c r="B36" s="1" t="s">
        <v>179</v>
      </c>
      <c r="D36" s="44"/>
      <c r="E36" s="44"/>
      <c r="F36" s="82">
        <f>-LN(1-pRemissionStage1-pRemissionStage2)*pRemissionStage2/(pRemissionStage1+pRemissionStage2)</f>
        <v>5.4172976499258306E-2</v>
      </c>
      <c r="G36" s="1" t="s">
        <v>181</v>
      </c>
      <c r="H36" s="1"/>
      <c r="I36" s="1"/>
    </row>
    <row r="37" spans="1:9" ht="16" customHeight="1" x14ac:dyDescent="0.2">
      <c r="A37" s="202"/>
      <c r="B37" s="1" t="s">
        <v>115</v>
      </c>
      <c r="D37" s="44"/>
      <c r="E37" s="44"/>
      <c r="F37" s="82">
        <f>-LN(1-pRemissionStage1_trtA-pRemissionStage2_trtA)*pRemissionStage1_trtA/(pRemissionStage1_trtA+pRemissionStage2_trtA)/rRemissionStage1</f>
        <v>0.18741944448462294</v>
      </c>
      <c r="G37" s="1" t="s">
        <v>131</v>
      </c>
      <c r="H37" s="1"/>
      <c r="I37" s="1"/>
    </row>
    <row r="38" spans="1:9" ht="16" customHeight="1" x14ac:dyDescent="0.2">
      <c r="A38" s="202"/>
      <c r="B38" s="1" t="s">
        <v>116</v>
      </c>
      <c r="D38" s="44"/>
      <c r="E38" s="44"/>
      <c r="F38" s="82">
        <f>-LN(1-pRemissionStage1_trtA-pRemissionStage2_trtA)*pRemissionStage2_trtA/(pRemissionStage1_trtA+pRemissionStage2_trtA)/rRemissionStage2</f>
        <v>0.18741944448462294</v>
      </c>
      <c r="G38" s="1" t="s">
        <v>132</v>
      </c>
      <c r="H38" s="1"/>
      <c r="I38" s="1"/>
    </row>
    <row r="39" spans="1:9" ht="16" customHeight="1" x14ac:dyDescent="0.2">
      <c r="A39" s="202"/>
      <c r="B39" s="1" t="s">
        <v>117</v>
      </c>
      <c r="D39" s="44"/>
      <c r="E39" s="44"/>
      <c r="F39" s="82">
        <f>-LN(1-pRemissionStage1_trtB-pRemissionStage2_trtB)*pRemissionStage1_trtB/(pRemissionStage1_trtB+pRemissionStage2_trtB)/rRemissionStage1</f>
        <v>0.78223379851691444</v>
      </c>
      <c r="G39" s="1" t="s">
        <v>133</v>
      </c>
      <c r="H39" s="1"/>
      <c r="I39" s="1"/>
    </row>
    <row r="40" spans="1:9" ht="16" customHeight="1" x14ac:dyDescent="0.2">
      <c r="A40" s="202"/>
      <c r="B40" s="1" t="s">
        <v>118</v>
      </c>
      <c r="D40" s="44"/>
      <c r="E40" s="44"/>
      <c r="F40" s="82">
        <f>-LN(1-pRemissionStage1_trtB-pRemissionStage2_trtB)*pRemissionStage2_trtB/(pRemissionStage1_trtB+pRemissionStage2_trtB)/rRemissionStage2</f>
        <v>0.5866753488876858</v>
      </c>
      <c r="G40" s="1" t="s">
        <v>134</v>
      </c>
      <c r="H40" s="1"/>
      <c r="I40" s="1"/>
    </row>
    <row r="41" spans="1:9" x14ac:dyDescent="0.2">
      <c r="A41" s="202"/>
      <c r="B41" s="1" t="s">
        <v>119</v>
      </c>
      <c r="D41" s="44"/>
      <c r="E41" s="44"/>
      <c r="F41" s="82">
        <f>-LN(1-pRemissionStage1_trtC-pRemissionStage2_trtC)*pRemissionStage1_trtC/(pRemissionStage1_trtC+pRemissionStage2_trtC)/rRemissionStage1</f>
        <v>0.47843235241513216</v>
      </c>
      <c r="G41" s="1" t="s">
        <v>136</v>
      </c>
      <c r="H41" s="1"/>
      <c r="I41" s="1"/>
    </row>
    <row r="42" spans="1:9" x14ac:dyDescent="0.2">
      <c r="A42" s="203"/>
      <c r="B42" s="1" t="s">
        <v>120</v>
      </c>
      <c r="D42" s="45"/>
      <c r="E42" s="45"/>
      <c r="F42" s="82">
        <f>-LN(1-pRemissionStage1_trtC-pRemissionStage2_trtC)*pRemissionStage2_trtC/(pRemissionStage1_trtC+pRemissionStage2_trtC)/rRemissionStage2</f>
        <v>0.38274588193210568</v>
      </c>
      <c r="G42" s="1" t="s">
        <v>135</v>
      </c>
      <c r="H42" s="1"/>
      <c r="I42" s="1"/>
    </row>
    <row r="43" spans="1:9" x14ac:dyDescent="0.2">
      <c r="A43" s="204" t="s">
        <v>100</v>
      </c>
      <c r="B43" s="39" t="s">
        <v>50</v>
      </c>
      <c r="C43" s="39"/>
      <c r="D43" s="39"/>
      <c r="E43" s="39"/>
      <c r="F43" s="39">
        <v>4</v>
      </c>
      <c r="G43" s="39" t="s">
        <v>58</v>
      </c>
      <c r="H43" s="1"/>
      <c r="I43" s="1"/>
    </row>
    <row r="44" spans="1:9" x14ac:dyDescent="0.2">
      <c r="A44" s="205"/>
      <c r="B44" s="1" t="s">
        <v>51</v>
      </c>
      <c r="F44" s="1">
        <v>12</v>
      </c>
      <c r="G44" s="1" t="s">
        <v>59</v>
      </c>
      <c r="H44" s="1"/>
      <c r="I44" s="1"/>
    </row>
    <row r="45" spans="1:9" x14ac:dyDescent="0.2">
      <c r="A45" s="205"/>
      <c r="B45" s="1" t="s">
        <v>52</v>
      </c>
      <c r="F45" s="1">
        <v>52</v>
      </c>
      <c r="G45" s="1" t="s">
        <v>60</v>
      </c>
      <c r="H45" s="1"/>
      <c r="I45" s="1"/>
    </row>
    <row r="46" spans="1:9" x14ac:dyDescent="0.2">
      <c r="A46" s="205"/>
      <c r="B46" s="1" t="s">
        <v>53</v>
      </c>
      <c r="F46" s="1">
        <v>1</v>
      </c>
      <c r="G46" s="1" t="s">
        <v>61</v>
      </c>
      <c r="H46" s="1"/>
      <c r="I46" s="1"/>
    </row>
    <row r="47" spans="1:9" x14ac:dyDescent="0.2">
      <c r="A47" s="205"/>
      <c r="B47" s="1" t="s">
        <v>65</v>
      </c>
      <c r="D47" s="40"/>
      <c r="E47" s="40"/>
      <c r="F47" s="40">
        <v>100</v>
      </c>
      <c r="G47" s="1" t="s">
        <v>66</v>
      </c>
      <c r="H47" s="1"/>
      <c r="I47" s="1"/>
    </row>
    <row r="48" spans="1:9" x14ac:dyDescent="0.2">
      <c r="A48" s="205"/>
      <c r="B48" s="1" t="s">
        <v>54</v>
      </c>
      <c r="D48" s="40"/>
      <c r="E48" s="40"/>
      <c r="F48" s="40">
        <v>1200</v>
      </c>
      <c r="G48" s="1" t="s">
        <v>62</v>
      </c>
      <c r="H48" s="1"/>
      <c r="I48" s="1"/>
    </row>
    <row r="49" spans="1:9" x14ac:dyDescent="0.2">
      <c r="A49" s="205"/>
      <c r="B49" s="1" t="s">
        <v>55</v>
      </c>
      <c r="D49" s="40"/>
      <c r="E49" s="40"/>
      <c r="F49" s="40">
        <v>6000</v>
      </c>
      <c r="G49" s="1" t="s">
        <v>63</v>
      </c>
      <c r="H49" s="1"/>
      <c r="I49" s="1"/>
    </row>
    <row r="50" spans="1:9" x14ac:dyDescent="0.2">
      <c r="A50" s="205"/>
      <c r="B50" s="1" t="s">
        <v>56</v>
      </c>
      <c r="D50" s="40"/>
      <c r="E50" s="40"/>
      <c r="F50" s="40">
        <v>18000</v>
      </c>
      <c r="G50" s="1" t="s">
        <v>64</v>
      </c>
      <c r="H50" s="1"/>
      <c r="I50" s="1"/>
    </row>
    <row r="51" spans="1:9" x14ac:dyDescent="0.2">
      <c r="A51" s="205"/>
      <c r="B51" s="1" t="s">
        <v>57</v>
      </c>
      <c r="D51" s="40"/>
      <c r="E51" s="40"/>
      <c r="F51" s="40">
        <v>400</v>
      </c>
      <c r="G51" s="1" t="s">
        <v>67</v>
      </c>
      <c r="H51" s="1"/>
      <c r="I51" s="1"/>
    </row>
    <row r="52" spans="1:9" x14ac:dyDescent="0.2">
      <c r="A52" s="205"/>
      <c r="B52" s="1" t="s">
        <v>139</v>
      </c>
      <c r="D52" s="40">
        <v>8000</v>
      </c>
      <c r="E52" s="40">
        <v>10500</v>
      </c>
      <c r="F52" s="40">
        <v>10000</v>
      </c>
      <c r="G52" s="1" t="s">
        <v>101</v>
      </c>
      <c r="H52" s="1"/>
      <c r="I52" s="1"/>
    </row>
    <row r="53" spans="1:9" x14ac:dyDescent="0.2">
      <c r="A53" s="205"/>
      <c r="B53" s="1" t="s">
        <v>140</v>
      </c>
      <c r="D53" s="40"/>
      <c r="E53" s="40"/>
      <c r="F53" s="40">
        <v>7500</v>
      </c>
      <c r="G53" s="1" t="s">
        <v>102</v>
      </c>
      <c r="H53" s="1"/>
      <c r="I53" s="1"/>
    </row>
    <row r="54" spans="1:9" x14ac:dyDescent="0.2">
      <c r="A54" s="206"/>
      <c r="B54" s="41" t="s">
        <v>141</v>
      </c>
      <c r="C54" s="41"/>
      <c r="D54" s="42"/>
      <c r="E54" s="42"/>
      <c r="F54" s="42">
        <v>12500</v>
      </c>
      <c r="G54" s="41" t="s">
        <v>103</v>
      </c>
      <c r="H54" s="1"/>
      <c r="I54" s="1"/>
    </row>
    <row r="55" spans="1:9" x14ac:dyDescent="0.2">
      <c r="A55" s="204" t="s">
        <v>84</v>
      </c>
      <c r="B55" s="39" t="s">
        <v>68</v>
      </c>
      <c r="C55" s="39"/>
      <c r="D55" s="39"/>
      <c r="E55" s="39"/>
      <c r="F55" s="39">
        <v>1</v>
      </c>
      <c r="G55" s="39" t="s">
        <v>73</v>
      </c>
      <c r="H55" s="1"/>
      <c r="I55" s="1"/>
    </row>
    <row r="56" spans="1:9" x14ac:dyDescent="0.2">
      <c r="A56" s="205"/>
      <c r="B56" s="1" t="s">
        <v>69</v>
      </c>
      <c r="F56" s="1">
        <v>0.88</v>
      </c>
      <c r="G56" s="1" t="s">
        <v>75</v>
      </c>
    </row>
    <row r="57" spans="1:9" x14ac:dyDescent="0.2">
      <c r="A57" s="205"/>
      <c r="B57" s="1" t="s">
        <v>70</v>
      </c>
      <c r="F57" s="1">
        <v>0.71</v>
      </c>
      <c r="G57" s="1" t="s">
        <v>76</v>
      </c>
      <c r="H57" s="1"/>
      <c r="I57" s="1"/>
    </row>
    <row r="58" spans="1:9" x14ac:dyDescent="0.2">
      <c r="A58" s="205"/>
      <c r="B58" s="1" t="s">
        <v>71</v>
      </c>
      <c r="F58" s="1">
        <v>0.36</v>
      </c>
      <c r="G58" s="1" t="s">
        <v>77</v>
      </c>
      <c r="H58" s="1"/>
      <c r="I58" s="1"/>
    </row>
    <row r="59" spans="1:9" x14ac:dyDescent="0.2">
      <c r="A59" s="205"/>
      <c r="B59" s="1" t="s">
        <v>72</v>
      </c>
      <c r="F59" s="1">
        <v>0.95</v>
      </c>
      <c r="G59" s="1" t="s">
        <v>74</v>
      </c>
      <c r="H59" s="1"/>
      <c r="I59" s="1"/>
    </row>
    <row r="60" spans="1:9" x14ac:dyDescent="0.2">
      <c r="A60" s="206"/>
      <c r="B60" s="41" t="s">
        <v>239</v>
      </c>
      <c r="C60" s="41"/>
      <c r="D60" s="41"/>
      <c r="E60" s="41"/>
      <c r="F60" s="41">
        <v>0</v>
      </c>
      <c r="G60" s="41" t="s">
        <v>240</v>
      </c>
      <c r="H60" s="1"/>
      <c r="I60" s="1"/>
    </row>
  </sheetData>
  <mergeCells count="5">
    <mergeCell ref="A7:A24"/>
    <mergeCell ref="A55:A60"/>
    <mergeCell ref="A43:A54"/>
    <mergeCell ref="A25:A42"/>
    <mergeCell ref="A2:A6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B94D-43C4-8B4B-8465-2F671EF6EAF6}">
  <dimension ref="A1:H103"/>
  <sheetViews>
    <sheetView topLeftCell="A53" zoomScale="130" zoomScaleNormal="130" workbookViewId="0">
      <selection activeCell="A48" sqref="A48"/>
    </sheetView>
  </sheetViews>
  <sheetFormatPr baseColWidth="10" defaultRowHeight="15" x14ac:dyDescent="0.2"/>
  <cols>
    <col min="2" max="2" width="12.6640625" style="199" bestFit="1" customWidth="1"/>
    <col min="4" max="4" width="17.5" bestFit="1" customWidth="1"/>
    <col min="5" max="5" width="15" bestFit="1" customWidth="1"/>
  </cols>
  <sheetData>
    <row r="1" spans="1:8" ht="76" x14ac:dyDescent="0.2">
      <c r="A1" s="208" t="s">
        <v>249</v>
      </c>
      <c r="B1" s="167" t="s">
        <v>250</v>
      </c>
      <c r="C1" s="168" t="s">
        <v>251</v>
      </c>
      <c r="D1" t="s">
        <v>259</v>
      </c>
      <c r="E1" t="s">
        <v>260</v>
      </c>
      <c r="F1" t="s">
        <v>257</v>
      </c>
      <c r="G1" t="s">
        <v>258</v>
      </c>
    </row>
    <row r="2" spans="1:8" ht="16" x14ac:dyDescent="0.2">
      <c r="A2" s="209"/>
      <c r="B2" s="169" t="s">
        <v>252</v>
      </c>
      <c r="C2" s="170" t="s">
        <v>253</v>
      </c>
    </row>
    <row r="3" spans="1:8" x14ac:dyDescent="0.2">
      <c r="A3" s="171">
        <v>0</v>
      </c>
      <c r="B3" s="199">
        <v>5.849E-3</v>
      </c>
      <c r="C3" s="172">
        <v>585</v>
      </c>
      <c r="E3">
        <v>0</v>
      </c>
      <c r="F3" s="196">
        <v>5.849E-3</v>
      </c>
      <c r="G3" s="199">
        <f>F3</f>
        <v>5.849E-3</v>
      </c>
      <c r="H3" t="s">
        <v>262</v>
      </c>
    </row>
    <row r="4" spans="1:8" x14ac:dyDescent="0.2">
      <c r="A4" s="171">
        <v>1</v>
      </c>
      <c r="B4" s="199">
        <v>4.0299999999999998E-4</v>
      </c>
      <c r="C4" s="172">
        <v>40</v>
      </c>
      <c r="E4">
        <v>0</v>
      </c>
      <c r="F4" s="196">
        <v>4.0299999999999998E-4</v>
      </c>
      <c r="G4" s="199">
        <f t="shared" ref="G4:G22" si="0">F4</f>
        <v>4.0299999999999998E-4</v>
      </c>
    </row>
    <row r="5" spans="1:8" x14ac:dyDescent="0.2">
      <c r="A5" s="171">
        <v>2</v>
      </c>
      <c r="B5" s="199">
        <v>2.5900000000000001E-4</v>
      </c>
      <c r="C5" s="172">
        <v>26</v>
      </c>
      <c r="E5">
        <v>0</v>
      </c>
      <c r="F5" s="196">
        <v>2.5900000000000001E-4</v>
      </c>
      <c r="G5" s="199">
        <f t="shared" si="0"/>
        <v>2.5900000000000001E-4</v>
      </c>
    </row>
    <row r="6" spans="1:8" x14ac:dyDescent="0.2">
      <c r="A6" s="171">
        <v>3</v>
      </c>
      <c r="B6" s="199">
        <v>2.0799999999999999E-4</v>
      </c>
      <c r="C6" s="172">
        <v>21</v>
      </c>
      <c r="E6">
        <v>0</v>
      </c>
      <c r="F6" s="196">
        <v>2.0799999999999999E-4</v>
      </c>
      <c r="G6" s="199">
        <f t="shared" si="0"/>
        <v>2.0799999999999999E-4</v>
      </c>
    </row>
    <row r="7" spans="1:8" x14ac:dyDescent="0.2">
      <c r="A7" s="171">
        <v>4</v>
      </c>
      <c r="B7" s="199">
        <v>1.55E-4</v>
      </c>
      <c r="C7" s="172">
        <v>15</v>
      </c>
      <c r="E7">
        <v>0</v>
      </c>
      <c r="F7" s="196">
        <v>1.55E-4</v>
      </c>
      <c r="G7" s="199">
        <f t="shared" si="0"/>
        <v>1.55E-4</v>
      </c>
    </row>
    <row r="8" spans="1:8" x14ac:dyDescent="0.2">
      <c r="A8" s="171">
        <v>5</v>
      </c>
      <c r="B8" s="199">
        <v>1.44E-4</v>
      </c>
      <c r="C8" s="172">
        <v>14</v>
      </c>
      <c r="E8">
        <v>0</v>
      </c>
      <c r="F8" s="196">
        <v>1.44E-4</v>
      </c>
      <c r="G8" s="199">
        <f t="shared" si="0"/>
        <v>1.44E-4</v>
      </c>
    </row>
    <row r="9" spans="1:8" x14ac:dyDescent="0.2">
      <c r="A9" s="171">
        <v>6</v>
      </c>
      <c r="B9" s="199">
        <v>1.3200000000000001E-4</v>
      </c>
      <c r="C9" s="172">
        <v>13</v>
      </c>
      <c r="E9">
        <v>0</v>
      </c>
      <c r="F9" s="196">
        <v>1.3200000000000001E-4</v>
      </c>
      <c r="G9" s="199">
        <f t="shared" si="0"/>
        <v>1.3200000000000001E-4</v>
      </c>
    </row>
    <row r="10" spans="1:8" x14ac:dyDescent="0.2">
      <c r="A10" s="171">
        <v>7</v>
      </c>
      <c r="B10" s="199">
        <v>1.21E-4</v>
      </c>
      <c r="C10" s="172">
        <v>12</v>
      </c>
      <c r="E10">
        <v>0</v>
      </c>
      <c r="F10" s="196">
        <v>1.21E-4</v>
      </c>
      <c r="G10" s="199">
        <f t="shared" si="0"/>
        <v>1.21E-4</v>
      </c>
    </row>
    <row r="11" spans="1:8" x14ac:dyDescent="0.2">
      <c r="A11" s="171">
        <v>8</v>
      </c>
      <c r="B11" s="199">
        <v>1.0900000000000001E-4</v>
      </c>
      <c r="C11" s="172">
        <v>11</v>
      </c>
      <c r="E11">
        <v>0</v>
      </c>
      <c r="F11" s="196">
        <v>1.0900000000000001E-4</v>
      </c>
      <c r="G11" s="199">
        <f t="shared" si="0"/>
        <v>1.0900000000000001E-4</v>
      </c>
    </row>
    <row r="12" spans="1:8" x14ac:dyDescent="0.2">
      <c r="A12" s="171">
        <v>9</v>
      </c>
      <c r="B12" s="199">
        <v>9.6000000000000002E-5</v>
      </c>
      <c r="C12" s="172">
        <v>10</v>
      </c>
      <c r="E12">
        <v>0</v>
      </c>
      <c r="F12" s="196">
        <v>9.6000000000000002E-5</v>
      </c>
      <c r="G12" s="199">
        <f t="shared" si="0"/>
        <v>9.6000000000000002E-5</v>
      </c>
    </row>
    <row r="13" spans="1:8" x14ac:dyDescent="0.2">
      <c r="A13" s="171">
        <v>10</v>
      </c>
      <c r="B13" s="199">
        <v>9.1000000000000003E-5</v>
      </c>
      <c r="C13" s="172">
        <v>9</v>
      </c>
      <c r="E13">
        <v>0</v>
      </c>
      <c r="F13" s="196">
        <v>9.1000000000000003E-5</v>
      </c>
      <c r="G13" s="199">
        <f t="shared" si="0"/>
        <v>9.1000000000000003E-5</v>
      </c>
    </row>
    <row r="14" spans="1:8" x14ac:dyDescent="0.2">
      <c r="A14" s="171">
        <v>11</v>
      </c>
      <c r="B14" s="199">
        <v>1.07E-4</v>
      </c>
      <c r="C14" s="172">
        <v>11</v>
      </c>
      <c r="E14">
        <v>0</v>
      </c>
      <c r="F14" s="196">
        <v>1.07E-4</v>
      </c>
      <c r="G14" s="199">
        <f t="shared" si="0"/>
        <v>1.07E-4</v>
      </c>
    </row>
    <row r="15" spans="1:8" x14ac:dyDescent="0.2">
      <c r="A15" s="171">
        <v>12</v>
      </c>
      <c r="B15" s="199">
        <v>1.5899999999999999E-4</v>
      </c>
      <c r="C15" s="172">
        <v>16</v>
      </c>
      <c r="E15">
        <v>0</v>
      </c>
      <c r="F15" s="196">
        <v>1.5899999999999999E-4</v>
      </c>
      <c r="G15" s="199">
        <f t="shared" si="0"/>
        <v>1.5899999999999999E-4</v>
      </c>
    </row>
    <row r="16" spans="1:8" x14ac:dyDescent="0.2">
      <c r="A16" s="171">
        <v>13</v>
      </c>
      <c r="B16" s="199">
        <v>2.5500000000000002E-4</v>
      </c>
      <c r="C16" s="172">
        <v>25</v>
      </c>
      <c r="E16">
        <v>0</v>
      </c>
      <c r="F16" s="196">
        <v>2.5500000000000002E-4</v>
      </c>
      <c r="G16" s="199">
        <f t="shared" si="0"/>
        <v>2.5500000000000002E-4</v>
      </c>
    </row>
    <row r="17" spans="1:8" x14ac:dyDescent="0.2">
      <c r="A17" s="171">
        <v>14</v>
      </c>
      <c r="B17" s="199">
        <v>3.8499999999999998E-4</v>
      </c>
      <c r="C17" s="172">
        <v>38</v>
      </c>
      <c r="E17">
        <v>0</v>
      </c>
      <c r="F17" s="196">
        <v>3.8499999999999998E-4</v>
      </c>
      <c r="G17" s="199">
        <f t="shared" si="0"/>
        <v>3.8499999999999998E-4</v>
      </c>
    </row>
    <row r="18" spans="1:8" x14ac:dyDescent="0.2">
      <c r="A18" s="171">
        <v>15</v>
      </c>
      <c r="B18" s="199">
        <v>5.2899999999999996E-4</v>
      </c>
      <c r="C18" s="172">
        <v>52</v>
      </c>
      <c r="E18">
        <v>0</v>
      </c>
      <c r="F18" s="196">
        <v>5.2899999999999996E-4</v>
      </c>
      <c r="G18" s="199">
        <f t="shared" si="0"/>
        <v>5.2899999999999996E-4</v>
      </c>
    </row>
    <row r="19" spans="1:8" x14ac:dyDescent="0.2">
      <c r="A19" s="171">
        <v>16</v>
      </c>
      <c r="B19" s="199">
        <v>6.7599999999999995E-4</v>
      </c>
      <c r="C19" s="172">
        <v>67</v>
      </c>
      <c r="E19">
        <v>0</v>
      </c>
      <c r="F19" s="196">
        <v>6.7599999999999995E-4</v>
      </c>
      <c r="G19" s="199">
        <f t="shared" si="0"/>
        <v>6.7599999999999995E-4</v>
      </c>
    </row>
    <row r="20" spans="1:8" x14ac:dyDescent="0.2">
      <c r="A20" s="171">
        <v>17</v>
      </c>
      <c r="B20" s="199">
        <v>8.3100000000000003E-4</v>
      </c>
      <c r="C20" s="172">
        <v>82</v>
      </c>
      <c r="E20">
        <v>0</v>
      </c>
      <c r="F20" s="196">
        <v>8.3100000000000003E-4</v>
      </c>
      <c r="G20" s="199">
        <f t="shared" si="0"/>
        <v>8.3100000000000003E-4</v>
      </c>
    </row>
    <row r="21" spans="1:8" x14ac:dyDescent="0.2">
      <c r="A21" s="171">
        <v>18</v>
      </c>
      <c r="B21" s="199">
        <v>9.9099999999999991E-4</v>
      </c>
      <c r="C21" s="172">
        <v>98</v>
      </c>
      <c r="E21">
        <v>0</v>
      </c>
      <c r="F21" s="196">
        <v>9.9099999999999991E-4</v>
      </c>
      <c r="G21" s="199">
        <f t="shared" si="0"/>
        <v>9.9099999999999991E-4</v>
      </c>
    </row>
    <row r="22" spans="1:8" x14ac:dyDescent="0.2">
      <c r="A22" s="171">
        <v>19</v>
      </c>
      <c r="B22" s="199">
        <v>1.152E-3</v>
      </c>
      <c r="C22" s="172">
        <v>114</v>
      </c>
      <c r="E22">
        <v>0</v>
      </c>
      <c r="F22" s="196">
        <v>1.152E-3</v>
      </c>
      <c r="G22" s="199">
        <f t="shared" si="0"/>
        <v>1.152E-3</v>
      </c>
    </row>
    <row r="23" spans="1:8" x14ac:dyDescent="0.2">
      <c r="A23" s="171">
        <v>20</v>
      </c>
      <c r="B23" s="199">
        <v>1.3197667138104201E-3</v>
      </c>
      <c r="C23" s="172">
        <v>129.977024844966</v>
      </c>
      <c r="E23" s="198">
        <v>1.7673196180076901E-4</v>
      </c>
      <c r="F23" s="196">
        <v>1.32E-3</v>
      </c>
      <c r="G23" s="198">
        <f>F23*(1-E23)</f>
        <v>1.3197667138104229E-3</v>
      </c>
      <c r="H23" t="s">
        <v>261</v>
      </c>
    </row>
    <row r="24" spans="1:8" x14ac:dyDescent="0.2">
      <c r="A24" s="171">
        <v>21</v>
      </c>
      <c r="B24" s="199">
        <v>1.48273790650065E-3</v>
      </c>
      <c r="C24" s="172">
        <v>145.97419713357701</v>
      </c>
      <c r="E24" s="198">
        <v>1.7673196180076901E-4</v>
      </c>
      <c r="F24" s="196">
        <v>1.4829999999999999E-3</v>
      </c>
      <c r="G24" s="198">
        <f t="shared" ref="G24:G87" si="1">F24*(1-E24)</f>
        <v>1.4827379065006493E-3</v>
      </c>
    </row>
    <row r="25" spans="1:8" x14ac:dyDescent="0.2">
      <c r="A25" s="171">
        <v>22</v>
      </c>
      <c r="B25" s="199">
        <v>1.6197136942218799E-3</v>
      </c>
      <c r="C25" s="172">
        <v>158.97189961807399</v>
      </c>
      <c r="E25" s="198">
        <v>1.7673196180076901E-4</v>
      </c>
      <c r="F25" s="196">
        <v>1.6199999999999999E-3</v>
      </c>
      <c r="G25" s="198">
        <f t="shared" si="1"/>
        <v>1.6197136942218827E-3</v>
      </c>
    </row>
    <row r="26" spans="1:8" x14ac:dyDescent="0.2">
      <c r="A26" s="171">
        <v>23</v>
      </c>
      <c r="B26" s="199">
        <v>1.7166965512215901E-3</v>
      </c>
      <c r="C26" s="172">
        <v>168.97013229845601</v>
      </c>
      <c r="E26" s="198">
        <v>1.7673196180076901E-4</v>
      </c>
      <c r="F26" s="196">
        <v>1.717E-3</v>
      </c>
      <c r="G26" s="198">
        <f t="shared" si="1"/>
        <v>1.7166965512215881E-3</v>
      </c>
    </row>
    <row r="27" spans="1:8" x14ac:dyDescent="0.2">
      <c r="A27" s="171">
        <v>24</v>
      </c>
      <c r="B27" s="199">
        <v>1.7846845334481901E-3</v>
      </c>
      <c r="C27" s="172">
        <v>174.969071906685</v>
      </c>
      <c r="E27" s="198">
        <v>1.7673196180076901E-4</v>
      </c>
      <c r="F27" s="196">
        <v>1.7849999999999999E-3</v>
      </c>
      <c r="G27" s="198">
        <f t="shared" si="1"/>
        <v>1.7846845334481855E-3</v>
      </c>
    </row>
    <row r="28" spans="1:8" x14ac:dyDescent="0.2">
      <c r="A28" s="171">
        <v>25</v>
      </c>
      <c r="B28" s="199">
        <v>1.8395930787855001E-3</v>
      </c>
      <c r="C28" s="172">
        <v>179.960192489886</v>
      </c>
      <c r="E28" s="198">
        <v>2.2115283396705499E-4</v>
      </c>
      <c r="F28" s="196">
        <v>1.8400000000000001E-3</v>
      </c>
      <c r="G28" s="198">
        <f t="shared" si="1"/>
        <v>1.8395930787855007E-3</v>
      </c>
    </row>
    <row r="29" spans="1:8" x14ac:dyDescent="0.2">
      <c r="A29" s="171">
        <v>26</v>
      </c>
      <c r="B29" s="199">
        <v>1.8985800307683E-3</v>
      </c>
      <c r="C29" s="172">
        <v>185.95886557288199</v>
      </c>
      <c r="E29" s="198">
        <v>2.2115283396705499E-4</v>
      </c>
      <c r="F29" s="196">
        <v>1.8990000000000001E-3</v>
      </c>
      <c r="G29" s="198">
        <f t="shared" si="1"/>
        <v>1.8985800307682965E-3</v>
      </c>
    </row>
    <row r="30" spans="1:8" x14ac:dyDescent="0.2">
      <c r="A30" s="171">
        <v>27</v>
      </c>
      <c r="B30" s="199">
        <v>1.9655652135284201E-3</v>
      </c>
      <c r="C30" s="172">
        <v>191.95753865587801</v>
      </c>
      <c r="E30" s="198">
        <v>2.2115283396705499E-4</v>
      </c>
      <c r="F30" s="196">
        <v>1.9659999999999999E-3</v>
      </c>
      <c r="G30" s="198">
        <f t="shared" si="1"/>
        <v>1.9655652135284205E-3</v>
      </c>
    </row>
    <row r="31" spans="1:8" x14ac:dyDescent="0.2">
      <c r="A31" s="171">
        <v>28</v>
      </c>
      <c r="B31" s="199">
        <v>2.0495466366903699E-3</v>
      </c>
      <c r="C31" s="172">
        <v>199.955769433207</v>
      </c>
      <c r="E31" s="198">
        <v>2.2115283396705499E-4</v>
      </c>
      <c r="F31" s="196">
        <v>2.0500000000000002E-3</v>
      </c>
      <c r="G31" s="198">
        <f t="shared" si="1"/>
        <v>2.0495466366903677E-3</v>
      </c>
    </row>
    <row r="32" spans="1:8" x14ac:dyDescent="0.2">
      <c r="A32" s="171">
        <v>29</v>
      </c>
      <c r="B32" s="199">
        <v>2.1475249637126401E-3</v>
      </c>
      <c r="C32" s="172">
        <v>208.95377905770101</v>
      </c>
      <c r="E32" s="198">
        <v>2.2115283396705499E-4</v>
      </c>
      <c r="F32" s="196">
        <v>2.1480000000000002E-3</v>
      </c>
      <c r="G32" s="198">
        <f t="shared" si="1"/>
        <v>2.1475249637126388E-3</v>
      </c>
    </row>
    <row r="33" spans="1:7" x14ac:dyDescent="0.2">
      <c r="A33" s="171">
        <v>30</v>
      </c>
      <c r="B33" s="199">
        <v>2.2504061471256098E-3</v>
      </c>
      <c r="C33" s="172">
        <v>217.942487815807</v>
      </c>
      <c r="E33" s="198">
        <v>2.6381735868184802E-4</v>
      </c>
      <c r="F33" s="196">
        <v>2.251E-3</v>
      </c>
      <c r="G33" s="198">
        <f t="shared" si="1"/>
        <v>2.2504061471256072E-3</v>
      </c>
    </row>
    <row r="34" spans="1:7" x14ac:dyDescent="0.2">
      <c r="A34" s="171">
        <v>31</v>
      </c>
      <c r="B34" s="199">
        <v>2.35037976538974E-3</v>
      </c>
      <c r="C34" s="172">
        <v>227.93984964222099</v>
      </c>
      <c r="E34" s="198">
        <v>2.6381735868184802E-4</v>
      </c>
      <c r="F34" s="196">
        <v>2.3509999999999998E-3</v>
      </c>
      <c r="G34" s="198">
        <f t="shared" si="1"/>
        <v>2.3503797653897387E-3</v>
      </c>
    </row>
    <row r="35" spans="1:7" x14ac:dyDescent="0.2">
      <c r="A35" s="171">
        <v>32</v>
      </c>
      <c r="B35" s="199">
        <v>2.4473541751059498E-3</v>
      </c>
      <c r="C35" s="172">
        <v>235.93773910335099</v>
      </c>
      <c r="E35" s="198">
        <v>2.6381735868184802E-4</v>
      </c>
      <c r="F35" s="196">
        <v>2.4480000000000001E-3</v>
      </c>
      <c r="G35" s="198">
        <f t="shared" si="1"/>
        <v>2.4473541751059468E-3</v>
      </c>
    </row>
    <row r="36" spans="1:7" x14ac:dyDescent="0.2">
      <c r="A36" s="171">
        <v>33</v>
      </c>
      <c r="B36" s="199">
        <v>2.5383301677263099E-3</v>
      </c>
      <c r="C36" s="172">
        <v>244.935364747123</v>
      </c>
      <c r="E36" s="198">
        <v>2.6381735868184802E-4</v>
      </c>
      <c r="F36" s="196">
        <v>2.539E-3</v>
      </c>
      <c r="G36" s="198">
        <f t="shared" si="1"/>
        <v>2.5383301677263069E-3</v>
      </c>
    </row>
    <row r="37" spans="1:7" x14ac:dyDescent="0.2">
      <c r="A37" s="171">
        <v>34</v>
      </c>
      <c r="B37" s="199">
        <v>2.6263069517987402E-3</v>
      </c>
      <c r="C37" s="172">
        <v>251.93351802561199</v>
      </c>
      <c r="E37" s="198">
        <v>2.6381735868184802E-4</v>
      </c>
      <c r="F37" s="196">
        <v>2.627E-3</v>
      </c>
      <c r="G37" s="198">
        <f t="shared" si="1"/>
        <v>2.6263069517987428E-3</v>
      </c>
    </row>
    <row r="38" spans="1:7" x14ac:dyDescent="0.2">
      <c r="A38" s="171">
        <v>35</v>
      </c>
      <c r="B38" s="199">
        <v>2.7211032897119201E-3</v>
      </c>
      <c r="C38" s="172">
        <v>260.91401859471398</v>
      </c>
      <c r="E38" s="198">
        <v>3.2943067159342797E-4</v>
      </c>
      <c r="F38" s="196">
        <v>2.722E-3</v>
      </c>
      <c r="G38" s="198">
        <f t="shared" si="1"/>
        <v>2.7211032897119227E-3</v>
      </c>
    </row>
    <row r="39" spans="1:7" x14ac:dyDescent="0.2">
      <c r="A39" s="171">
        <v>36</v>
      </c>
      <c r="B39" s="199">
        <v>2.8260686994914098E-3</v>
      </c>
      <c r="C39" s="172">
        <v>269.91105371867002</v>
      </c>
      <c r="E39" s="198">
        <v>3.2943067159342797E-4</v>
      </c>
      <c r="F39" s="196">
        <v>2.8270000000000001E-3</v>
      </c>
      <c r="G39" s="198">
        <f t="shared" si="1"/>
        <v>2.8260686994914055E-3</v>
      </c>
    </row>
    <row r="40" spans="1:7" x14ac:dyDescent="0.2">
      <c r="A40" s="171">
        <v>37</v>
      </c>
      <c r="B40" s="199">
        <v>2.9300344387015601E-3</v>
      </c>
      <c r="C40" s="172">
        <v>278.90808884262498</v>
      </c>
      <c r="E40" s="198">
        <v>3.2943067159342797E-4</v>
      </c>
      <c r="F40" s="196">
        <v>2.931E-3</v>
      </c>
      <c r="G40" s="198">
        <f t="shared" si="1"/>
        <v>2.9300344387015597E-3</v>
      </c>
    </row>
    <row r="41" spans="1:7" x14ac:dyDescent="0.2">
      <c r="A41" s="171">
        <v>38</v>
      </c>
      <c r="B41" s="199">
        <v>3.0320008367730601E-3</v>
      </c>
      <c r="C41" s="172">
        <v>287.90512396658102</v>
      </c>
      <c r="E41" s="198">
        <v>3.2943067159342797E-4</v>
      </c>
      <c r="F41" s="196">
        <v>3.0330000000000001E-3</v>
      </c>
      <c r="G41" s="198">
        <f t="shared" si="1"/>
        <v>3.0320008367730575E-3</v>
      </c>
    </row>
    <row r="42" spans="1:7" x14ac:dyDescent="0.2">
      <c r="A42" s="171">
        <v>39</v>
      </c>
      <c r="B42" s="199">
        <v>3.1389655876912E-3</v>
      </c>
      <c r="C42" s="172">
        <v>296.902159090537</v>
      </c>
      <c r="E42" s="198">
        <v>3.2943067159342797E-4</v>
      </c>
      <c r="F42" s="196">
        <v>3.14E-3</v>
      </c>
      <c r="G42" s="198">
        <f t="shared" si="1"/>
        <v>3.1389655876911966E-3</v>
      </c>
    </row>
    <row r="43" spans="1:7" x14ac:dyDescent="0.2">
      <c r="A43" s="171">
        <v>40</v>
      </c>
      <c r="B43" s="199">
        <v>3.2614901902146302E-3</v>
      </c>
      <c r="C43" s="172">
        <v>307.76316745897901</v>
      </c>
      <c r="E43" s="198">
        <v>7.68936821496879E-4</v>
      </c>
      <c r="F43" s="196">
        <v>3.264E-3</v>
      </c>
      <c r="G43" s="198">
        <f t="shared" si="1"/>
        <v>3.2614901902146341E-3</v>
      </c>
    </row>
    <row r="44" spans="1:7" x14ac:dyDescent="0.2">
      <c r="A44" s="171">
        <v>41</v>
      </c>
      <c r="B44" s="199">
        <v>3.4083771565018698E-3</v>
      </c>
      <c r="C44" s="172">
        <v>320.75317128030002</v>
      </c>
      <c r="E44" s="198">
        <v>7.68936821496879E-4</v>
      </c>
      <c r="F44" s="196">
        <v>3.411E-3</v>
      </c>
      <c r="G44" s="198">
        <f t="shared" si="1"/>
        <v>3.4083771565018742E-3</v>
      </c>
    </row>
    <row r="45" spans="1:7" x14ac:dyDescent="0.2">
      <c r="A45" s="171">
        <v>42</v>
      </c>
      <c r="B45" s="199">
        <v>3.57724720617904E-3</v>
      </c>
      <c r="C45" s="172">
        <v>335.74163722797698</v>
      </c>
      <c r="E45" s="198">
        <v>7.68936821496879E-4</v>
      </c>
      <c r="F45" s="196">
        <v>3.5799999999999998E-3</v>
      </c>
      <c r="G45" s="198">
        <f t="shared" si="1"/>
        <v>3.5772472061790408E-3</v>
      </c>
    </row>
    <row r="46" spans="1:7" x14ac:dyDescent="0.2">
      <c r="A46" s="171">
        <v>43</v>
      </c>
      <c r="B46" s="199">
        <v>3.76610187711978E-3</v>
      </c>
      <c r="C46" s="172">
        <v>351.72933423883302</v>
      </c>
      <c r="E46" s="198">
        <v>7.68936821496879E-4</v>
      </c>
      <c r="F46" s="196">
        <v>3.7690000000000002E-3</v>
      </c>
      <c r="G46" s="198">
        <f t="shared" si="1"/>
        <v>3.7661018771197783E-3</v>
      </c>
    </row>
    <row r="47" spans="1:7" x14ac:dyDescent="0.2">
      <c r="A47" s="171">
        <v>44</v>
      </c>
      <c r="B47" s="199">
        <v>3.9799373246399801E-3</v>
      </c>
      <c r="C47" s="172">
        <v>370.71472443922499</v>
      </c>
      <c r="E47" s="198">
        <v>7.68936821496879E-4</v>
      </c>
      <c r="F47" s="196">
        <v>3.9830000000000004E-3</v>
      </c>
      <c r="G47" s="198">
        <f t="shared" si="1"/>
        <v>3.9799373246399783E-3</v>
      </c>
    </row>
    <row r="48" spans="1:7" x14ac:dyDescent="0.2">
      <c r="A48" s="171">
        <v>45</v>
      </c>
      <c r="B48" s="199">
        <v>4.2198988001518603E-3</v>
      </c>
      <c r="C48" s="172">
        <v>390.97147947518999</v>
      </c>
      <c r="E48" s="198">
        <v>2.6237768490062199E-3</v>
      </c>
      <c r="F48" s="196">
        <v>4.2310000000000004E-3</v>
      </c>
      <c r="G48" s="198">
        <f t="shared" si="1"/>
        <v>4.2198988001518551E-3</v>
      </c>
    </row>
    <row r="49" spans="1:7" x14ac:dyDescent="0.2">
      <c r="A49" s="171">
        <v>46</v>
      </c>
      <c r="B49" s="199">
        <v>4.5031536475267399E-3</v>
      </c>
      <c r="C49" s="172">
        <v>415.90588505396403</v>
      </c>
      <c r="E49" s="198">
        <v>2.6237768490062199E-3</v>
      </c>
      <c r="F49" s="196">
        <v>4.5149999999999999E-3</v>
      </c>
      <c r="G49" s="198">
        <f t="shared" si="1"/>
        <v>4.5031536475267373E-3</v>
      </c>
    </row>
    <row r="50" spans="1:7" x14ac:dyDescent="0.2">
      <c r="A50" s="171">
        <v>47</v>
      </c>
      <c r="B50" s="199">
        <v>4.8183245340424497E-3</v>
      </c>
      <c r="C50" s="172">
        <v>442.83504307904099</v>
      </c>
      <c r="E50" s="198">
        <v>2.6237768490062199E-3</v>
      </c>
      <c r="F50" s="196">
        <v>4.8310000000000002E-3</v>
      </c>
      <c r="G50" s="198">
        <f t="shared" si="1"/>
        <v>4.8183245340424515E-3</v>
      </c>
    </row>
    <row r="51" spans="1:7" x14ac:dyDescent="0.2">
      <c r="A51" s="171">
        <v>48</v>
      </c>
      <c r="B51" s="199">
        <v>5.1674062121452998E-3</v>
      </c>
      <c r="C51" s="172">
        <v>472.756329773571</v>
      </c>
      <c r="E51" s="198">
        <v>2.6237768490062199E-3</v>
      </c>
      <c r="F51" s="196">
        <v>5.1809999999999998E-3</v>
      </c>
      <c r="G51" s="198">
        <f t="shared" si="1"/>
        <v>5.167406212145299E-3</v>
      </c>
    </row>
    <row r="52" spans="1:7" x14ac:dyDescent="0.2">
      <c r="A52" s="171">
        <v>49</v>
      </c>
      <c r="B52" s="199">
        <v>5.5553855629510403E-3</v>
      </c>
      <c r="C52" s="172">
        <v>505.669745137554</v>
      </c>
      <c r="E52" s="198">
        <v>2.6237768490062199E-3</v>
      </c>
      <c r="F52" s="196">
        <v>5.5700000000000003E-3</v>
      </c>
      <c r="G52" s="198">
        <f t="shared" si="1"/>
        <v>5.555385562951036E-3</v>
      </c>
    </row>
    <row r="53" spans="1:7" x14ac:dyDescent="0.2">
      <c r="A53" s="171">
        <v>50</v>
      </c>
      <c r="B53" s="199">
        <v>5.9461371303458199E-3</v>
      </c>
      <c r="C53" s="172">
        <v>538.48058891352298</v>
      </c>
      <c r="E53" s="198">
        <v>6.4933783883348003E-3</v>
      </c>
      <c r="F53" s="196">
        <v>5.9849999999999999E-3</v>
      </c>
      <c r="G53" s="198">
        <f t="shared" si="1"/>
        <v>5.9461371303458164E-3</v>
      </c>
    </row>
    <row r="54" spans="1:7" x14ac:dyDescent="0.2">
      <c r="A54" s="171">
        <v>51</v>
      </c>
      <c r="B54" s="199">
        <v>6.4081177093952401E-3</v>
      </c>
      <c r="C54" s="172">
        <v>576.23384053476605</v>
      </c>
      <c r="E54" s="198">
        <v>6.4933783883348003E-3</v>
      </c>
      <c r="F54" s="196">
        <v>6.45E-3</v>
      </c>
      <c r="G54" s="198">
        <f t="shared" si="1"/>
        <v>6.408117709395241E-3</v>
      </c>
    </row>
    <row r="55" spans="1:7" x14ac:dyDescent="0.2">
      <c r="A55" s="171">
        <v>52</v>
      </c>
      <c r="B55" s="199">
        <v>6.9585203777680999E-3</v>
      </c>
      <c r="C55" s="172">
        <v>621.93514512890204</v>
      </c>
      <c r="E55" s="198">
        <v>6.4933783883348003E-3</v>
      </c>
      <c r="F55" s="196">
        <v>7.0039999999999998E-3</v>
      </c>
      <c r="G55" s="198">
        <f t="shared" si="1"/>
        <v>6.9585203777681034E-3</v>
      </c>
    </row>
    <row r="56" spans="1:7" x14ac:dyDescent="0.2">
      <c r="A56" s="171">
        <v>53</v>
      </c>
      <c r="B56" s="199">
        <v>7.6072802016805196E-3</v>
      </c>
      <c r="C56" s="172">
        <v>675.58450269593197</v>
      </c>
      <c r="E56" s="198">
        <v>6.4933783883348003E-3</v>
      </c>
      <c r="F56" s="196">
        <v>7.6569999999999997E-3</v>
      </c>
      <c r="G56" s="198">
        <f t="shared" si="1"/>
        <v>7.6072802016805205E-3</v>
      </c>
    </row>
    <row r="57" spans="1:7" x14ac:dyDescent="0.2">
      <c r="A57" s="171">
        <v>54</v>
      </c>
      <c r="B57" s="199">
        <v>8.3265789957273594E-3</v>
      </c>
      <c r="C57" s="172">
        <v>733.207886749409</v>
      </c>
      <c r="E57" s="198">
        <v>6.4933783883348003E-3</v>
      </c>
      <c r="F57" s="196">
        <v>8.3809999999999996E-3</v>
      </c>
      <c r="G57" s="198">
        <f t="shared" si="1"/>
        <v>8.3265789957273663E-3</v>
      </c>
    </row>
    <row r="58" spans="1:7" x14ac:dyDescent="0.2">
      <c r="A58" s="171">
        <v>55</v>
      </c>
      <c r="B58" s="199">
        <v>9.0072235773421098E-3</v>
      </c>
      <c r="C58" s="172">
        <v>786.58803813102804</v>
      </c>
      <c r="E58" s="198">
        <v>1.18240726997138E-2</v>
      </c>
      <c r="F58" s="196">
        <v>9.1149999999999998E-3</v>
      </c>
      <c r="G58" s="198">
        <f t="shared" si="1"/>
        <v>9.0072235773421098E-3</v>
      </c>
    </row>
    <row r="59" spans="1:7" x14ac:dyDescent="0.2">
      <c r="A59" s="171">
        <v>56</v>
      </c>
      <c r="B59" s="199">
        <v>9.7424264672535208E-3</v>
      </c>
      <c r="C59" s="172">
        <v>842.914065987144</v>
      </c>
      <c r="E59" s="198">
        <v>1.18240726997138E-2</v>
      </c>
      <c r="F59" s="196">
        <v>9.8589999999999997E-3</v>
      </c>
      <c r="G59" s="198">
        <f t="shared" si="1"/>
        <v>9.7424264672535225E-3</v>
      </c>
    </row>
    <row r="60" spans="1:7" x14ac:dyDescent="0.2">
      <c r="A60" s="171">
        <v>57</v>
      </c>
      <c r="B60" s="199">
        <v>1.05418607924395E-2</v>
      </c>
      <c r="C60" s="172">
        <v>903.19279755246203</v>
      </c>
      <c r="E60" s="198">
        <v>1.18240726997138E-2</v>
      </c>
      <c r="F60" s="196">
        <v>1.0668E-2</v>
      </c>
      <c r="G60" s="198">
        <f t="shared" si="1"/>
        <v>1.0541860792439454E-2</v>
      </c>
    </row>
    <row r="61" spans="1:7" x14ac:dyDescent="0.2">
      <c r="A61" s="171">
        <v>58</v>
      </c>
      <c r="B61" s="199">
        <v>1.1431219127009701E-2</v>
      </c>
      <c r="C61" s="172">
        <v>969.40058468158099</v>
      </c>
      <c r="E61" s="198">
        <v>1.18240726997138E-2</v>
      </c>
      <c r="F61" s="196">
        <v>1.1568E-2</v>
      </c>
      <c r="G61" s="198">
        <f t="shared" si="1"/>
        <v>1.1431219127009711E-2</v>
      </c>
    </row>
    <row r="62" spans="1:7" x14ac:dyDescent="0.2">
      <c r="A62" s="171">
        <v>59</v>
      </c>
      <c r="B62" s="199">
        <v>1.2399631535764E-2</v>
      </c>
      <c r="C62" s="172">
        <v>1038.5728995925999</v>
      </c>
      <c r="E62" s="198">
        <v>1.18240726997138E-2</v>
      </c>
      <c r="F62" s="196">
        <v>1.2548E-2</v>
      </c>
      <c r="G62" s="198">
        <f t="shared" si="1"/>
        <v>1.2399631535763992E-2</v>
      </c>
    </row>
    <row r="63" spans="1:7" x14ac:dyDescent="0.2">
      <c r="A63" s="171">
        <v>60</v>
      </c>
      <c r="B63" s="199">
        <v>1.33100770657561E-2</v>
      </c>
      <c r="C63" s="172">
        <v>1101.0983674516999</v>
      </c>
      <c r="E63" s="198">
        <v>2.1245895598491701E-2</v>
      </c>
      <c r="F63" s="196">
        <v>1.3599E-2</v>
      </c>
      <c r="G63" s="198">
        <f t="shared" si="1"/>
        <v>1.3310077065756112E-2</v>
      </c>
    </row>
    <row r="64" spans="1:7" x14ac:dyDescent="0.2">
      <c r="A64" s="171">
        <v>61</v>
      </c>
      <c r="B64" s="199">
        <v>1.4356365203361299E-2</v>
      </c>
      <c r="C64" s="172">
        <v>1171.5686629686099</v>
      </c>
      <c r="E64" s="198">
        <v>2.1245895598491701E-2</v>
      </c>
      <c r="F64" s="196">
        <v>1.4668E-2</v>
      </c>
      <c r="G64" s="198">
        <f t="shared" si="1"/>
        <v>1.4356365203361325E-2</v>
      </c>
    </row>
    <row r="65" spans="1:7" x14ac:dyDescent="0.2">
      <c r="A65" s="171">
        <v>62</v>
      </c>
      <c r="B65" s="199">
        <v>1.53889507835049E-2</v>
      </c>
      <c r="C65" s="172">
        <v>1237.1451879635099</v>
      </c>
      <c r="E65" s="198">
        <v>2.1245895598491701E-2</v>
      </c>
      <c r="F65" s="196">
        <v>1.5723000000000001E-2</v>
      </c>
      <c r="G65" s="198">
        <f t="shared" si="1"/>
        <v>1.5388950783504916E-2</v>
      </c>
    </row>
    <row r="66" spans="1:7" x14ac:dyDescent="0.2">
      <c r="A66" s="171">
        <v>63</v>
      </c>
      <c r="B66" s="199">
        <v>1.6395110002829699E-2</v>
      </c>
      <c r="C66" s="172">
        <v>1297.8279424364</v>
      </c>
      <c r="E66" s="198">
        <v>2.1245895598491701E-2</v>
      </c>
      <c r="F66" s="196">
        <v>1.6750999999999999E-2</v>
      </c>
      <c r="G66" s="198">
        <f t="shared" si="1"/>
        <v>1.6395110002829665E-2</v>
      </c>
    </row>
    <row r="67" spans="1:7" x14ac:dyDescent="0.2">
      <c r="A67" s="171">
        <v>64</v>
      </c>
      <c r="B67" s="199">
        <v>1.7414971779616002E-2</v>
      </c>
      <c r="C67" s="172">
        <v>1355.57443459609</v>
      </c>
      <c r="E67" s="198">
        <v>2.1245895598491701E-2</v>
      </c>
      <c r="F67" s="196">
        <v>1.7793E-2</v>
      </c>
      <c r="G67" s="198">
        <f t="shared" si="1"/>
        <v>1.7414971779616036E-2</v>
      </c>
    </row>
    <row r="68" spans="1:7" x14ac:dyDescent="0.2">
      <c r="A68" s="171">
        <v>65</v>
      </c>
      <c r="B68" s="199">
        <v>1.83673575084118E-2</v>
      </c>
      <c r="C68" s="172">
        <v>1403.5341935301501</v>
      </c>
      <c r="E68" s="198">
        <v>2.8696059840727602E-2</v>
      </c>
      <c r="F68" s="196">
        <v>1.891E-2</v>
      </c>
      <c r="G68" s="198">
        <f t="shared" si="1"/>
        <v>1.8367357508411841E-2</v>
      </c>
    </row>
    <row r="69" spans="1:7" x14ac:dyDescent="0.2">
      <c r="A69" s="171">
        <v>66</v>
      </c>
      <c r="B69" s="199">
        <v>1.9660163052763802E-2</v>
      </c>
      <c r="C69" s="172">
        <v>1474.4393811617799</v>
      </c>
      <c r="E69" s="198">
        <v>2.8696059840727602E-2</v>
      </c>
      <c r="F69" s="196">
        <v>2.0240999999999999E-2</v>
      </c>
      <c r="G69" s="198">
        <f t="shared" si="1"/>
        <v>1.9660163052763829E-2</v>
      </c>
    </row>
    <row r="70" spans="1:7" x14ac:dyDescent="0.2">
      <c r="A70" s="171">
        <v>67</v>
      </c>
      <c r="B70" s="199">
        <v>2.0996677274423E-2</v>
      </c>
      <c r="C70" s="172">
        <v>1542.4306569729199</v>
      </c>
      <c r="E70" s="198">
        <v>2.8696059840727602E-2</v>
      </c>
      <c r="F70" s="196">
        <v>2.1617000000000001E-2</v>
      </c>
      <c r="G70" s="198">
        <f t="shared" si="1"/>
        <v>2.099667727442299E-2</v>
      </c>
    </row>
    <row r="71" spans="1:7" x14ac:dyDescent="0.2">
      <c r="A71" s="171">
        <v>68</v>
      </c>
      <c r="B71" s="199">
        <v>2.2458489704362702E-2</v>
      </c>
      <c r="C71" s="172">
        <v>1614.3071485447099</v>
      </c>
      <c r="E71" s="198">
        <v>2.8696059840727602E-2</v>
      </c>
      <c r="F71" s="196">
        <v>2.3122E-2</v>
      </c>
      <c r="G71" s="198">
        <f t="shared" si="1"/>
        <v>2.2458489704362695E-2</v>
      </c>
    </row>
    <row r="72" spans="1:7" x14ac:dyDescent="0.2">
      <c r="A72" s="171">
        <v>69</v>
      </c>
      <c r="B72" s="199">
        <v>2.3991207321934001E-2</v>
      </c>
      <c r="C72" s="172">
        <v>1685.2123361763399</v>
      </c>
      <c r="E72" s="198">
        <v>2.8696059840727602E-2</v>
      </c>
      <c r="F72" s="196">
        <v>2.47E-2</v>
      </c>
      <c r="G72" s="198">
        <f t="shared" si="1"/>
        <v>2.3991207321934025E-2</v>
      </c>
    </row>
    <row r="73" spans="1:7" x14ac:dyDescent="0.2">
      <c r="A73" s="171">
        <v>70</v>
      </c>
      <c r="B73" s="199">
        <v>2.5406342255889201E-2</v>
      </c>
      <c r="C73" s="172">
        <v>1739.9489150821701</v>
      </c>
      <c r="E73" s="198">
        <v>3.49700970148814E-2</v>
      </c>
      <c r="F73" s="196">
        <v>2.6327E-2</v>
      </c>
      <c r="G73" s="198">
        <f t="shared" si="1"/>
        <v>2.5406342255889218E-2</v>
      </c>
    </row>
    <row r="74" spans="1:7" x14ac:dyDescent="0.2">
      <c r="A74" s="171">
        <v>71</v>
      </c>
      <c r="B74" s="199">
        <v>2.7160766619516202E-2</v>
      </c>
      <c r="C74" s="172">
        <v>1811.3611279030699</v>
      </c>
      <c r="E74" s="198">
        <v>3.49700970148814E-2</v>
      </c>
      <c r="F74" s="196">
        <v>2.8145E-2</v>
      </c>
      <c r="G74" s="198">
        <f t="shared" si="1"/>
        <v>2.7160766619516163E-2</v>
      </c>
    </row>
    <row r="75" spans="1:7" x14ac:dyDescent="0.2">
      <c r="A75" s="171">
        <v>72</v>
      </c>
      <c r="B75" s="199">
        <v>2.9257776598702798E-2</v>
      </c>
      <c r="C75" s="172">
        <v>1896.28375936576</v>
      </c>
      <c r="E75" s="198">
        <v>3.49700970148814E-2</v>
      </c>
      <c r="F75" s="196">
        <v>3.0318000000000001E-2</v>
      </c>
      <c r="G75" s="198">
        <f t="shared" si="1"/>
        <v>2.9257776598702826E-2</v>
      </c>
    </row>
    <row r="76" spans="1:7" x14ac:dyDescent="0.2">
      <c r="A76" s="171">
        <v>73</v>
      </c>
      <c r="B76" s="199">
        <v>3.13509264582775E-2</v>
      </c>
      <c r="C76" s="172">
        <v>1970.59106189561</v>
      </c>
      <c r="E76" s="198">
        <v>3.49700970148814E-2</v>
      </c>
      <c r="F76" s="196">
        <v>3.2487000000000002E-2</v>
      </c>
      <c r="G76" s="198">
        <f t="shared" si="1"/>
        <v>3.1350926458277549E-2</v>
      </c>
    </row>
    <row r="77" spans="1:7" x14ac:dyDescent="0.2">
      <c r="A77" s="171">
        <v>74</v>
      </c>
      <c r="B77" s="199">
        <v>3.5180165113322497E-2</v>
      </c>
      <c r="C77" s="172">
        <v>2139.4712949180098</v>
      </c>
      <c r="E77" s="198">
        <v>3.49700970148814E-2</v>
      </c>
      <c r="F77" s="196">
        <v>3.6455000000000001E-2</v>
      </c>
      <c r="G77" s="198">
        <f t="shared" si="1"/>
        <v>3.5180165113322497E-2</v>
      </c>
    </row>
    <row r="78" spans="1:7" x14ac:dyDescent="0.2">
      <c r="A78" s="171">
        <v>75</v>
      </c>
      <c r="B78" s="199">
        <v>3.7735070787452703E-2</v>
      </c>
      <c r="C78" s="172">
        <v>2211.1698907270302</v>
      </c>
      <c r="E78" s="198">
        <v>4.4851019124391697E-2</v>
      </c>
      <c r="F78" s="196">
        <v>3.9507E-2</v>
      </c>
      <c r="G78" s="198">
        <f t="shared" si="1"/>
        <v>3.7735070787452654E-2</v>
      </c>
    </row>
    <row r="79" spans="1:7" x14ac:dyDescent="0.2">
      <c r="A79" s="171">
        <v>76</v>
      </c>
      <c r="B79" s="199">
        <v>4.1924354217573102E-2</v>
      </c>
      <c r="C79" s="172">
        <v>2359.2179827627501</v>
      </c>
      <c r="E79" s="198">
        <v>4.4851019124391697E-2</v>
      </c>
      <c r="F79" s="196">
        <v>4.3893000000000001E-2</v>
      </c>
      <c r="G79" s="198">
        <f t="shared" si="1"/>
        <v>4.1924354217573075E-2</v>
      </c>
    </row>
    <row r="80" spans="1:7" x14ac:dyDescent="0.2">
      <c r="A80" s="171">
        <v>77</v>
      </c>
      <c r="B80" s="199">
        <v>4.5859568018780598E-2</v>
      </c>
      <c r="C80" s="172">
        <v>2467.1498176016999</v>
      </c>
      <c r="E80" s="198">
        <v>4.4851019124391697E-2</v>
      </c>
      <c r="F80" s="196">
        <v>4.8013E-2</v>
      </c>
      <c r="G80" s="198">
        <f t="shared" si="1"/>
        <v>4.5859568018780578E-2</v>
      </c>
    </row>
    <row r="81" spans="1:7" x14ac:dyDescent="0.2">
      <c r="A81" s="171">
        <v>78</v>
      </c>
      <c r="B81" s="199">
        <v>5.1013551919585398E-2</v>
      </c>
      <c r="C81" s="172">
        <v>2613.2876116756602</v>
      </c>
      <c r="E81" s="198">
        <v>4.4851019124391697E-2</v>
      </c>
      <c r="F81" s="196">
        <v>5.3408999999999998E-2</v>
      </c>
      <c r="G81" s="198">
        <f t="shared" si="1"/>
        <v>5.1013551919585363E-2</v>
      </c>
    </row>
    <row r="82" spans="1:7" x14ac:dyDescent="0.2">
      <c r="A82" s="171">
        <v>79</v>
      </c>
      <c r="B82" s="199">
        <v>5.5622145752310198E-2</v>
      </c>
      <c r="C82" s="172">
        <v>2696.3855730118398</v>
      </c>
      <c r="E82" s="198">
        <v>4.4851019124391697E-2</v>
      </c>
      <c r="F82" s="196">
        <v>5.8234000000000001E-2</v>
      </c>
      <c r="G82" s="198">
        <f t="shared" si="1"/>
        <v>5.5622145752310177E-2</v>
      </c>
    </row>
    <row r="83" spans="1:7" x14ac:dyDescent="0.2">
      <c r="A83" s="171">
        <v>80</v>
      </c>
      <c r="B83" s="199">
        <v>6.09883603341859E-2</v>
      </c>
      <c r="C83" s="172">
        <v>2784.8435851036602</v>
      </c>
      <c r="E83" s="198">
        <v>4.7265280498236001E-2</v>
      </c>
      <c r="F83" s="196">
        <v>6.4014000000000001E-2</v>
      </c>
      <c r="G83" s="198">
        <f t="shared" si="1"/>
        <v>6.098836033418592E-2</v>
      </c>
    </row>
    <row r="84" spans="1:7" x14ac:dyDescent="0.2">
      <c r="A84" s="171">
        <v>81</v>
      </c>
      <c r="B84" s="199">
        <v>6.6978203515693502E-2</v>
      </c>
      <c r="C84" s="172">
        <v>2862.9678321028</v>
      </c>
      <c r="E84" s="198">
        <v>4.7265280498236001E-2</v>
      </c>
      <c r="F84" s="196">
        <v>7.0301000000000002E-2</v>
      </c>
      <c r="G84" s="198">
        <f t="shared" si="1"/>
        <v>6.6978203515693516E-2</v>
      </c>
    </row>
    <row r="85" spans="1:7" x14ac:dyDescent="0.2">
      <c r="A85" s="171">
        <v>82</v>
      </c>
      <c r="B85" s="199">
        <v>7.3627339123096297E-2</v>
      </c>
      <c r="C85" s="172">
        <v>2925.8483235899198</v>
      </c>
      <c r="E85" s="198">
        <v>4.7265280498236001E-2</v>
      </c>
      <c r="F85" s="196">
        <v>7.7280000000000001E-2</v>
      </c>
      <c r="G85" s="198">
        <f t="shared" si="1"/>
        <v>7.3627339123096325E-2</v>
      </c>
    </row>
    <row r="86" spans="1:7" x14ac:dyDescent="0.2">
      <c r="A86" s="171">
        <v>83</v>
      </c>
      <c r="B86" s="199">
        <v>8.2460142707597203E-2</v>
      </c>
      <c r="C86" s="172">
        <v>3023.0272649791</v>
      </c>
      <c r="E86" s="198">
        <v>4.7265280498236001E-2</v>
      </c>
      <c r="F86" s="196">
        <v>8.6551000000000003E-2</v>
      </c>
      <c r="G86" s="198">
        <f t="shared" si="1"/>
        <v>8.2460142707597175E-2</v>
      </c>
    </row>
    <row r="87" spans="1:7" x14ac:dyDescent="0.2">
      <c r="A87" s="171">
        <v>84</v>
      </c>
      <c r="B87" s="199">
        <v>9.1415849070913699E-2</v>
      </c>
      <c r="C87" s="172">
        <v>3061.1366537591698</v>
      </c>
      <c r="E87" s="198">
        <v>4.7265280498236001E-2</v>
      </c>
      <c r="F87" s="196">
        <v>9.5950999999999995E-2</v>
      </c>
      <c r="G87" s="198">
        <f t="shared" si="1"/>
        <v>9.1415849070913754E-2</v>
      </c>
    </row>
    <row r="88" spans="1:7" x14ac:dyDescent="0.2">
      <c r="A88" s="171">
        <v>85</v>
      </c>
      <c r="B88" s="199">
        <v>0.10200783471078601</v>
      </c>
      <c r="C88" s="172">
        <v>3088.1733897260101</v>
      </c>
      <c r="E88" s="198">
        <v>4.7448059924117499E-2</v>
      </c>
      <c r="F88" s="196">
        <v>0.107089</v>
      </c>
      <c r="G88" s="198">
        <f t="shared" ref="G88:G103" si="2">F88*(1-E88)</f>
        <v>0.10200783471078619</v>
      </c>
    </row>
    <row r="89" spans="1:7" x14ac:dyDescent="0.2">
      <c r="A89" s="171">
        <v>86</v>
      </c>
      <c r="B89" s="199">
        <v>0.111138997608354</v>
      </c>
      <c r="C89" s="172">
        <v>3004.34881899933</v>
      </c>
      <c r="E89" s="198">
        <v>4.7448059924117499E-2</v>
      </c>
      <c r="F89" s="196">
        <v>0.116675</v>
      </c>
      <c r="G89" s="198">
        <f t="shared" si="2"/>
        <v>0.11113899760835359</v>
      </c>
    </row>
    <row r="90" spans="1:7" x14ac:dyDescent="0.2">
      <c r="A90" s="171">
        <v>87</v>
      </c>
      <c r="B90" s="199">
        <v>0.12469476426757301</v>
      </c>
      <c r="C90" s="172">
        <v>2977.6773646772099</v>
      </c>
      <c r="E90" s="198">
        <v>4.7448059924117499E-2</v>
      </c>
      <c r="F90" s="196">
        <v>0.13090599999999999</v>
      </c>
      <c r="G90" s="198">
        <f t="shared" si="2"/>
        <v>0.12469476426757348</v>
      </c>
    </row>
    <row r="91" spans="1:7" x14ac:dyDescent="0.2">
      <c r="A91" s="171">
        <v>88</v>
      </c>
      <c r="B91" s="199">
        <v>0.13946312954651</v>
      </c>
      <c r="C91" s="172">
        <v>2894.8053458906102</v>
      </c>
      <c r="E91" s="198">
        <v>4.7448059924117499E-2</v>
      </c>
      <c r="F91" s="196">
        <v>0.14641000000000001</v>
      </c>
      <c r="G91" s="198">
        <f t="shared" si="2"/>
        <v>0.13946312954650997</v>
      </c>
    </row>
    <row r="92" spans="1:7" x14ac:dyDescent="0.2">
      <c r="A92" s="171">
        <v>89</v>
      </c>
      <c r="B92" s="199">
        <v>0.15544885620486301</v>
      </c>
      <c r="C92" s="172">
        <v>2753.82765875938</v>
      </c>
      <c r="E92" s="198">
        <v>4.7448059924117499E-2</v>
      </c>
      <c r="F92" s="196">
        <v>0.163192</v>
      </c>
      <c r="G92" s="198">
        <f t="shared" si="2"/>
        <v>0.15544885620486343</v>
      </c>
    </row>
    <row r="93" spans="1:7" x14ac:dyDescent="0.2">
      <c r="A93" s="171">
        <v>90</v>
      </c>
      <c r="B93" s="199">
        <v>0.173135968883637</v>
      </c>
      <c r="C93" s="172">
        <v>2567.03663576803</v>
      </c>
      <c r="E93" s="198">
        <v>4.4645837079259502E-2</v>
      </c>
      <c r="F93" s="196">
        <v>0.181227</v>
      </c>
      <c r="G93" s="198">
        <f t="shared" si="2"/>
        <v>0.17313596888363703</v>
      </c>
    </row>
    <row r="94" spans="1:7" x14ac:dyDescent="0.2">
      <c r="A94" s="171">
        <v>91</v>
      </c>
      <c r="B94" s="199">
        <v>0.19151220620741699</v>
      </c>
      <c r="C94" s="172">
        <v>2324.3766783861602</v>
      </c>
      <c r="E94" s="198">
        <v>4.4645837079259502E-2</v>
      </c>
      <c r="F94" s="196">
        <v>0.200462</v>
      </c>
      <c r="G94" s="198">
        <f t="shared" si="2"/>
        <v>0.19151220620741749</v>
      </c>
    </row>
    <row r="95" spans="1:7" x14ac:dyDescent="0.2">
      <c r="A95" s="171">
        <v>92</v>
      </c>
      <c r="B95" s="199">
        <v>0.21095175271452901</v>
      </c>
      <c r="C95" s="172">
        <v>2047.32397113915</v>
      </c>
      <c r="E95" s="198">
        <v>4.4645837079259502E-2</v>
      </c>
      <c r="F95" s="196">
        <v>0.22081000000000001</v>
      </c>
      <c r="G95" s="198">
        <f t="shared" si="2"/>
        <v>0.21095175271452871</v>
      </c>
    </row>
    <row r="96" spans="1:7" x14ac:dyDescent="0.2">
      <c r="A96" s="171">
        <v>93</v>
      </c>
      <c r="B96" s="199">
        <v>0.231339010551257</v>
      </c>
      <c r="C96" s="172">
        <v>1749.25347230788</v>
      </c>
      <c r="E96" s="198">
        <v>4.4645837079259502E-2</v>
      </c>
      <c r="F96" s="196">
        <v>0.24215</v>
      </c>
      <c r="G96" s="198">
        <f t="shared" si="2"/>
        <v>0.2313390105512573</v>
      </c>
    </row>
    <row r="97" spans="1:7" x14ac:dyDescent="0.2">
      <c r="A97" s="171">
        <v>94</v>
      </c>
      <c r="B97" s="199">
        <v>0.25252876588483902</v>
      </c>
      <c r="C97" s="172">
        <v>1447.3615568249199</v>
      </c>
      <c r="E97" s="198">
        <v>4.4645837079259502E-2</v>
      </c>
      <c r="F97" s="196">
        <v>0.26433000000000001</v>
      </c>
      <c r="G97" s="198">
        <f t="shared" si="2"/>
        <v>0.25252876588483936</v>
      </c>
    </row>
    <row r="98" spans="1:7" x14ac:dyDescent="0.2">
      <c r="A98" s="171">
        <v>95</v>
      </c>
      <c r="B98" s="199">
        <v>0.27724601044473601</v>
      </c>
      <c r="C98" s="172">
        <v>1169.1626079896901</v>
      </c>
      <c r="E98" s="198">
        <v>3.4547805128250002E-2</v>
      </c>
      <c r="F98" s="196">
        <v>0.28716700000000001</v>
      </c>
      <c r="G98" s="198">
        <f t="shared" si="2"/>
        <v>0.27724601044473585</v>
      </c>
    </row>
    <row r="99" spans="1:7" x14ac:dyDescent="0.2">
      <c r="A99" s="171">
        <v>96</v>
      </c>
      <c r="B99" s="199">
        <v>0.29972946115890903</v>
      </c>
      <c r="C99" s="172">
        <v>900.76689781534299</v>
      </c>
      <c r="E99" s="198">
        <v>3.4547805128250002E-2</v>
      </c>
      <c r="F99" s="196">
        <v>0.31045499999999998</v>
      </c>
      <c r="G99" s="198">
        <f t="shared" si="2"/>
        <v>0.29972946115890914</v>
      </c>
    </row>
    <row r="100" spans="1:7" x14ac:dyDescent="0.2">
      <c r="A100" s="171">
        <v>97</v>
      </c>
      <c r="B100" s="199">
        <v>0.32243110406912301</v>
      </c>
      <c r="C100" s="172">
        <v>668.09291885125106</v>
      </c>
      <c r="E100" s="198">
        <v>3.4547805128250002E-2</v>
      </c>
      <c r="F100" s="196">
        <v>0.33396900000000002</v>
      </c>
      <c r="G100" s="198">
        <f t="shared" si="2"/>
        <v>0.32243110406912351</v>
      </c>
    </row>
    <row r="101" spans="1:7" x14ac:dyDescent="0.2">
      <c r="A101" s="171">
        <v>98</v>
      </c>
      <c r="B101" s="199">
        <v>0.34512695426616902</v>
      </c>
      <c r="C101" s="172">
        <v>475.96793207177302</v>
      </c>
      <c r="E101" s="198">
        <v>3.4547805128250002E-2</v>
      </c>
      <c r="F101" s="196">
        <v>0.35747699999999999</v>
      </c>
      <c r="G101" s="198">
        <f t="shared" si="2"/>
        <v>0.34512695426616857</v>
      </c>
    </row>
    <row r="102" spans="1:7" x14ac:dyDescent="0.2">
      <c r="A102" s="171">
        <v>99</v>
      </c>
      <c r="B102" s="199">
        <v>0.367593026840834</v>
      </c>
      <c r="C102" s="172">
        <v>326.322841866651</v>
      </c>
      <c r="E102" s="198">
        <v>3.4547805128250002E-2</v>
      </c>
      <c r="F102" s="196">
        <v>0.380747</v>
      </c>
      <c r="G102" s="198">
        <f t="shared" si="2"/>
        <v>0.36759302684083422</v>
      </c>
    </row>
    <row r="103" spans="1:7" x14ac:dyDescent="0.2">
      <c r="A103" s="173">
        <v>100</v>
      </c>
      <c r="B103" s="240">
        <v>0.96545219487175005</v>
      </c>
      <c r="C103" s="174">
        <v>530.03325498459105</v>
      </c>
      <c r="E103" s="200">
        <v>3.4547805128250002E-2</v>
      </c>
      <c r="F103" s="197">
        <v>1</v>
      </c>
      <c r="G103" s="200">
        <f t="shared" si="2"/>
        <v>0.96545219487175005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A270-617B-C142-BE35-4980EF3F6FB1}">
  <dimension ref="A1:Y113"/>
  <sheetViews>
    <sheetView zoomScaleNormal="100" workbookViewId="0">
      <selection activeCell="W38" sqref="W38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20" width="9.33203125" style="1" bestFit="1" customWidth="1"/>
    <col min="21" max="21" width="22.83203125" style="1" bestFit="1" customWidth="1"/>
    <col min="22" max="22" width="6.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16384" width="8.83203125" style="1"/>
  </cols>
  <sheetData>
    <row r="1" spans="1:25" x14ac:dyDescent="0.2">
      <c r="A1" s="1" t="s">
        <v>254</v>
      </c>
      <c r="C1" s="213" t="s">
        <v>7</v>
      </c>
      <c r="D1" s="214"/>
      <c r="E1" s="215"/>
      <c r="F1" s="216" t="s">
        <v>8</v>
      </c>
      <c r="G1" s="217"/>
      <c r="H1" s="218"/>
      <c r="I1" s="219" t="s">
        <v>9</v>
      </c>
      <c r="J1" s="220"/>
      <c r="K1" s="221"/>
      <c r="L1" s="222" t="s">
        <v>10</v>
      </c>
      <c r="M1" s="223"/>
      <c r="N1" s="224"/>
      <c r="O1" s="225" t="s">
        <v>11</v>
      </c>
      <c r="P1" s="226"/>
      <c r="Q1" s="227"/>
      <c r="R1" s="210" t="s">
        <v>255</v>
      </c>
      <c r="S1" s="211"/>
      <c r="T1" s="212"/>
      <c r="U1" s="165" t="s">
        <v>256</v>
      </c>
    </row>
    <row r="2" spans="1:25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75">
        <v>0</v>
      </c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>SUM(C4,F4,I4,L4,O4)</f>
        <v>995.78010119984822</v>
      </c>
      <c r="C4" s="27">
        <f>(1-SUM(pHealthyStage1,pHealthyStage2,pHealthyStage3))*C3*(1-'Life Table - Male'!B48)</f>
        <v>916.11769310386035</v>
      </c>
      <c r="D4" s="19">
        <f t="shared" ref="D4:D33" si="2">C4*0*W4/(1+discount_rate)^A4</f>
        <v>0</v>
      </c>
      <c r="E4" s="20">
        <f t="shared" si="1"/>
        <v>592.95643566592901</v>
      </c>
      <c r="F4" s="27">
        <f>SUM(pHealthyStage1*C3,(1-SUM(pStage1Remission,pStage1Stage2))*F3,pStage2Stage1*I3,pRemissionStage1*O3)*(1-'Life Table - Male'!B48)</f>
        <v>49.789005059992405</v>
      </c>
      <c r="G4" s="19">
        <f t="shared" ref="G4:G33" si="3">F4*SUM(nVisitsStage1*cVisit,cTreatmentStage1)*W4/(1+discount_rate)^A4</f>
        <v>51561.429188341644</v>
      </c>
      <c r="H4" s="20">
        <f t="shared" ref="H4:H33" si="4">F4*uStage1*W4/(1+discount_rate)^A4</f>
        <v>28.358786053587906</v>
      </c>
      <c r="I4" s="27">
        <f>SUM(pHealthyStage2*C3,pStage1Stage2*F3,(1-SUM(pStage2Remission, pStage2Stage1, pStage2Stage3))*I3,pStage3Stage2*L3,pRemissionStage2*O3)*(1-'Life Table - Male'!B48)</f>
        <v>19.915602023996964</v>
      </c>
      <c r="J4" s="19">
        <f t="shared" ref="J4:J33" si="5">I4*SUM(nVisitsStage2*cVisit,cTreatmentStage2)*W4/(1+discount_rate)^A4</f>
        <v>92810.57253901496</v>
      </c>
      <c r="K4" s="20">
        <f t="shared" ref="K4:K33" si="6">I4*uStage2*W4/(1+discount_rate)^A4</f>
        <v>9.1521536809306419</v>
      </c>
      <c r="L4" s="27">
        <f>SUM(pHealthyStage3*C3,pStage2Stage3*I3,(1-SUM(pStage3Death, pStage3Stage2))*L3)*(1-'Life Table - Male'!B48)</f>
        <v>9.9578010119984821</v>
      </c>
      <c r="M4" s="19">
        <f t="shared" ref="M4:M33" si="7">L4*SUM(nVisitsStage3*cVisit,cTreatmentStage3)*W4/(1+discount_rate)^A4</f>
        <v>149528.14464619081</v>
      </c>
      <c r="N4" s="20">
        <f t="shared" ref="N4:N33" si="8">L4*uStage3*W4/(1+discount_rate)^A4</f>
        <v>2.3202643134753744</v>
      </c>
      <c r="O4" s="27">
        <f>SUM(pStage1Remission*F3,pStage2Remission*I3,(1-SUM(pRemissionStage1, pRemissionStage2))*O3)*(1-'Life Table - Male'!B48)</f>
        <v>0</v>
      </c>
      <c r="P4" s="19">
        <f t="shared" ref="P4:P33" si="9">O4*SUM(nVisitsRemission*cVisit,cTreatmentRemission)*W4/(1+discount_rate)^A4</f>
        <v>0</v>
      </c>
      <c r="Q4" s="23">
        <f t="shared" ref="Q4:Q33" si="10">O4*uRemission*W4/(1+discount_rate)^A4</f>
        <v>0</v>
      </c>
      <c r="R4" s="27">
        <f>SUM(pStage3Death*L3*(1-'Life Table - Male'!B48),R3)</f>
        <v>0</v>
      </c>
      <c r="S4" s="19">
        <f t="shared" ref="S4:S33" si="11">R4*0*W4/(1+discount_rate)^A4</f>
        <v>0</v>
      </c>
      <c r="T4" s="23">
        <f t="shared" ref="T4:T33" si="12">R4*0*W4/(1+discount_rate)^A4</f>
        <v>0</v>
      </c>
      <c r="U4" s="237">
        <f>SUM(B3*'Life Table - Male'!B48,U3)</f>
        <v>4.21989880015186</v>
      </c>
      <c r="V4" s="49">
        <f>SUM(C4,F4,I4,L4,O4,R4-R3,U4-U3)-B3</f>
        <v>0</v>
      </c>
      <c r="W4" s="54">
        <v>0.66666666666666663</v>
      </c>
      <c r="X4" s="13">
        <f>SUM(D4,G4,J4,M4,P4,S4)</f>
        <v>293900.14637354738</v>
      </c>
      <c r="Y4" s="25">
        <f>SUM(E4,H4,K4,N4,Q4,T4)</f>
        <v>632.78763971392289</v>
      </c>
    </row>
    <row r="5" spans="1:25" x14ac:dyDescent="0.2">
      <c r="A5" s="10">
        <v>2</v>
      </c>
      <c r="B5" s="15">
        <f t="shared" ref="B5:B33" si="13">SUM(C5,F5,I5,L5,O5)</f>
        <v>986.83511862817306</v>
      </c>
      <c r="C5" s="27">
        <f>(1-SUM(pHealthyStage1,pHealthyStage2,pHealthyStage3))*C4*(1-'Life Table - Male'!B49)</f>
        <v>839.03289242278834</v>
      </c>
      <c r="D5" s="19">
        <f t="shared" si="2"/>
        <v>0</v>
      </c>
      <c r="E5" s="20">
        <f t="shared" si="1"/>
        <v>1054.4919627018421</v>
      </c>
      <c r="F5" s="27">
        <f>SUM(pHealthyStage1*C4,(1-SUM(pStage1Remission,pStage1Stage2))*F4,pStage2Stage1*I4,pRemissionStage1*O4)*(1-'Life Table - Male'!B49)</f>
        <v>78.808028057197134</v>
      </c>
      <c r="G5" s="19">
        <f t="shared" si="3"/>
        <v>158472.79968770593</v>
      </c>
      <c r="H5" s="20">
        <f t="shared" si="4"/>
        <v>87.160039828238254</v>
      </c>
      <c r="I5" s="27">
        <f>SUM(pHealthyStage2*C4,pStage1Stage2*F4,(1-SUM(pStage2Remission, pStage2Stage1, pStage2Stage3))*I4,pStage3Stage2*L4,pRemissionStage2*O4)*(1-'Life Table - Male'!B49)</f>
        <v>35.587524619539344</v>
      </c>
      <c r="J5" s="19">
        <f t="shared" si="5"/>
        <v>322028.68917671568</v>
      </c>
      <c r="K5" s="20">
        <f t="shared" si="6"/>
        <v>31.755606849370576</v>
      </c>
      <c r="L5" s="27">
        <f>SUM(pHealthyStage3*C4,pStage2Stage3*I4,(1-SUM(pStage3Death, pStage3Stage2))*L4)*(1-'Life Table - Male'!B49)</f>
        <v>17.050290346965927</v>
      </c>
      <c r="M5" s="19">
        <f t="shared" si="7"/>
        <v>497146.11625300464</v>
      </c>
      <c r="N5" s="20">
        <f t="shared" si="8"/>
        <v>7.7143362866845546</v>
      </c>
      <c r="O5" s="27">
        <f>SUM(pStage1Remission*F4,pStage2Remission*I4,(1-SUM(pRemissionStage1, pRemissionStage2))*O4)*(1-'Life Table - Male'!B49)</f>
        <v>16.356383181682425</v>
      </c>
      <c r="P5" s="19">
        <f t="shared" si="9"/>
        <v>10278.306583518663</v>
      </c>
      <c r="Q5" s="23">
        <f t="shared" si="10"/>
        <v>19.52878250868546</v>
      </c>
      <c r="R5" s="27">
        <f>SUM(pStage3Death*L4*(1-'Life Table - Male'!B49),R4)</f>
        <v>4.4608317768224799</v>
      </c>
      <c r="S5" s="19">
        <f t="shared" si="11"/>
        <v>0</v>
      </c>
      <c r="T5" s="23">
        <f t="shared" si="12"/>
        <v>0</v>
      </c>
      <c r="U5" s="237">
        <f>SUM(B4*'Life Table - Male'!B49,U4)</f>
        <v>8.704049595004502</v>
      </c>
      <c r="V5" s="49">
        <f t="shared" ref="V5:V33" si="14">SUM(C5,F5,I5,L5,O5,R5-R4,U5-U4)-B4</f>
        <v>0</v>
      </c>
      <c r="W5" s="54">
        <v>1.3333333333333333</v>
      </c>
      <c r="X5" s="13">
        <f t="shared" ref="X5:Y33" si="15">SUM(D5,G5,J5,M5,P5,S5)</f>
        <v>987925.91170094488</v>
      </c>
      <c r="Y5" s="25">
        <f t="shared" si="15"/>
        <v>1200.6507281748211</v>
      </c>
    </row>
    <row r="6" spans="1:25" x14ac:dyDescent="0.2">
      <c r="A6" s="10">
        <v>3</v>
      </c>
      <c r="B6" s="15">
        <f t="shared" si="13"/>
        <v>974.44456533342884</v>
      </c>
      <c r="C6" s="27">
        <f>(1-SUM(pHealthyStage1,pHealthyStage2,pHealthyStage3))*C5*(1-'Life Table - Male'!B50)</f>
        <v>768.19094688017037</v>
      </c>
      <c r="D6" s="19">
        <f t="shared" si="2"/>
        <v>0</v>
      </c>
      <c r="E6" s="20">
        <f t="shared" si="1"/>
        <v>468.66902521866257</v>
      </c>
      <c r="F6" s="27">
        <f>SUM(pHealthyStage1*C5,(1-SUM(pStage1Remission,pStage1Stage2))*F5,pStage2Stage1*I5,pRemissionStage1*O5)*(1-'Life Table - Male'!B50)</f>
        <v>96.126466394761181</v>
      </c>
      <c r="G6" s="19">
        <f t="shared" si="3"/>
        <v>93833.956228541298</v>
      </c>
      <c r="H6" s="20">
        <f t="shared" si="4"/>
        <v>51.608675925697717</v>
      </c>
      <c r="I6" s="27">
        <f>SUM(pHealthyStage2*C5,pStage1Stage2*F5,(1-SUM(pStage2Remission, pStage2Stage1, pStage2Stage3))*I5,pStage3Stage2*L5,pRemissionStage2*O5)*(1-'Life Table - Male'!B50)</f>
        <v>47.454550625894889</v>
      </c>
      <c r="J6" s="19">
        <f t="shared" si="5"/>
        <v>208452.65377747186</v>
      </c>
      <c r="K6" s="20">
        <f t="shared" si="6"/>
        <v>20.555747803056246</v>
      </c>
      <c r="L6" s="27">
        <f>SUM(pHealthyStage3*C5,pStage2Stage3*I5,(1-SUM(pStage3Death, pStage3Stage2))*L5)*(1-'Life Table - Male'!B50)</f>
        <v>22.146377710344765</v>
      </c>
      <c r="M6" s="19">
        <f t="shared" si="7"/>
        <v>313464.06002597086</v>
      </c>
      <c r="N6" s="20">
        <f t="shared" si="8"/>
        <v>4.8640974831616157</v>
      </c>
      <c r="O6" s="27">
        <f>SUM(pStage1Remission*F5,pStage2Remission*I5,(1-SUM(pRemissionStage1, pRemissionStage2))*O5)*(1-'Life Table - Male'!B50)</f>
        <v>40.52622372225769</v>
      </c>
      <c r="P6" s="19">
        <f t="shared" si="9"/>
        <v>12362.411874834759</v>
      </c>
      <c r="Q6" s="23">
        <f t="shared" si="10"/>
        <v>23.488582562186043</v>
      </c>
      <c r="R6" s="27">
        <f>SUM(pStage3Death*L5*(1-'Life Table - Male'!B50),R5)</f>
        <v>12.096493208426047</v>
      </c>
      <c r="S6" s="19">
        <f t="shared" si="11"/>
        <v>0</v>
      </c>
      <c r="T6" s="23">
        <f t="shared" si="12"/>
        <v>0</v>
      </c>
      <c r="U6" s="237">
        <f>SUM(B5*'Life Table - Male'!B50,U5)</f>
        <v>13.458941458145318</v>
      </c>
      <c r="V6" s="49">
        <f t="shared" si="14"/>
        <v>0</v>
      </c>
      <c r="W6" s="54">
        <v>0.66666666666666663</v>
      </c>
      <c r="X6" s="13">
        <f t="shared" si="15"/>
        <v>628113.0819068189</v>
      </c>
      <c r="Y6" s="25">
        <f t="shared" si="15"/>
        <v>569.18612899276411</v>
      </c>
    </row>
    <row r="7" spans="1:25" x14ac:dyDescent="0.2">
      <c r="A7" s="10">
        <v>4</v>
      </c>
      <c r="B7" s="15">
        <f t="shared" si="13"/>
        <v>959.49484216186909</v>
      </c>
      <c r="C7" s="27">
        <f>(1-SUM(pHealthyStage1,pHealthyStage2,pHealthyStage3))*C6*(1-'Life Table - Male'!B51)</f>
        <v>703.08368083241612</v>
      </c>
      <c r="D7" s="19">
        <f t="shared" si="2"/>
        <v>0</v>
      </c>
      <c r="E7" s="20">
        <f t="shared" si="1"/>
        <v>832.90765869398649</v>
      </c>
      <c r="F7" s="27">
        <f>SUM(pHealthyStage1*C6,(1-SUM(pStage1Remission,pStage1Stage2))*F6,pStage2Stage1*I6,pRemissionStage1*O6)*(1-'Life Table - Male'!B51)</f>
        <v>106.76254935282611</v>
      </c>
      <c r="G7" s="19">
        <f t="shared" si="3"/>
        <v>202361.90357855047</v>
      </c>
      <c r="H7" s="20">
        <f t="shared" si="4"/>
        <v>111.29904696820275</v>
      </c>
      <c r="I7" s="27">
        <f>SUM(pHealthyStage2*C6,pStage1Stage2*F6,(1-SUM(pStage2Remission, pStage2Stage1, pStage2Stage3))*I6,pStage3Stage2*L6,pRemissionStage2*O6)*(1-'Life Table - Male'!B51)</f>
        <v>56.290439577548156</v>
      </c>
      <c r="J7" s="19">
        <f t="shared" si="5"/>
        <v>480127.93426686933</v>
      </c>
      <c r="K7" s="20">
        <f t="shared" si="6"/>
        <v>47.345949073538499</v>
      </c>
      <c r="L7" s="27">
        <f>SUM(pHealthyStage3*C6,pStage2Stage3*I6,(1-SUM(pStage3Death, pStage3Stage2))*L6)*(1-'Life Table - Male'!B51)</f>
        <v>25.739583165314798</v>
      </c>
      <c r="M7" s="19">
        <f t="shared" si="7"/>
        <v>707423.25501098286</v>
      </c>
      <c r="N7" s="20">
        <f t="shared" si="8"/>
        <v>10.977257405342836</v>
      </c>
      <c r="O7" s="27">
        <f>SUM(pStage1Remission*F6,pStage2Remission*I6,(1-SUM(pRemissionStage1, pRemissionStage2))*O6)*(1-'Life Table - Male'!B51)</f>
        <v>67.61858923376397</v>
      </c>
      <c r="P7" s="19">
        <f t="shared" si="9"/>
        <v>40052.160488353686</v>
      </c>
      <c r="Q7" s="23">
        <f t="shared" si="10"/>
        <v>76.099104927872006</v>
      </c>
      <c r="R7" s="27">
        <f>SUM(pStage3Death*L6*(1-'Life Table - Male'!B51),R6)</f>
        <v>22.010865479690565</v>
      </c>
      <c r="S7" s="19">
        <f t="shared" si="11"/>
        <v>0</v>
      </c>
      <c r="T7" s="23">
        <f t="shared" si="12"/>
        <v>0</v>
      </c>
      <c r="U7" s="237">
        <f>SUM(B6*'Life Table - Male'!B51,U6)</f>
        <v>18.494292358440504</v>
      </c>
      <c r="V7" s="49">
        <f t="shared" si="14"/>
        <v>0</v>
      </c>
      <c r="W7" s="54">
        <v>1.3333333333333333</v>
      </c>
      <c r="X7" s="13">
        <f t="shared" si="15"/>
        <v>1429965.2533447561</v>
      </c>
      <c r="Y7" s="25">
        <f t="shared" si="15"/>
        <v>1078.6290170689426</v>
      </c>
    </row>
    <row r="8" spans="1:25" x14ac:dyDescent="0.2">
      <c r="A8" s="10">
        <v>5</v>
      </c>
      <c r="B8" s="15">
        <f t="shared" si="13"/>
        <v>942.64601293252645</v>
      </c>
      <c r="C8" s="27">
        <f>(1-SUM(pHealthyStage1,pHealthyStage2,pHealthyStage3))*C7*(1-'Life Table - Male'!B52)</f>
        <v>643.24355751018345</v>
      </c>
      <c r="D8" s="19">
        <f t="shared" si="2"/>
        <v>0</v>
      </c>
      <c r="E8" s="20">
        <f t="shared" si="1"/>
        <v>369.91169547120296</v>
      </c>
      <c r="F8" s="27">
        <f>SUM(pHealthyStage1*C7,(1-SUM(pStage1Remission,pStage1Stage2))*F7,pStage2Stage1*I7,pRemissionStage1*O7)*(1-'Life Table - Male'!B52)</f>
        <v>113.4922068570297</v>
      </c>
      <c r="G8" s="19">
        <f t="shared" si="3"/>
        <v>104425.99956695305</v>
      </c>
      <c r="H8" s="20">
        <f t="shared" si="4"/>
        <v>57.434299761824171</v>
      </c>
      <c r="I8" s="27">
        <f>SUM(pHealthyStage2*C7,pStage1Stage2*F7,(1-SUM(pStage2Remission, pStage2Stage1, pStage2Stage3))*I7,pStage3Stage2*L7,pRemissionStage2*O7)*(1-'Life Table - Male'!B52)</f>
        <v>62.829111097905823</v>
      </c>
      <c r="J8" s="19">
        <f t="shared" si="5"/>
        <v>260145.32711089024</v>
      </c>
      <c r="K8" s="20">
        <f t="shared" si="6"/>
        <v>25.653219756768344</v>
      </c>
      <c r="L8" s="27">
        <f>SUM(pHealthyStage3*C7,pStage2Stage3*I7,(1-SUM(pStage3Death, pStage3Stage2))*L7)*(1-'Life Table - Male'!B52)</f>
        <v>28.186731399652682</v>
      </c>
      <c r="M8" s="19">
        <f t="shared" si="7"/>
        <v>376058.42194352159</v>
      </c>
      <c r="N8" s="20">
        <f t="shared" si="8"/>
        <v>5.8353893060201631</v>
      </c>
      <c r="O8" s="27">
        <f>SUM(pStage1Remission*F7,pStage2Remission*I7,(1-SUM(pRemissionStage1, pRemissionStage2))*O7)*(1-'Life Table - Male'!B52)</f>
        <v>94.894406067754744</v>
      </c>
      <c r="P8" s="19">
        <f t="shared" si="9"/>
        <v>27285.582754321051</v>
      </c>
      <c r="Q8" s="23">
        <f t="shared" si="10"/>
        <v>51.842607233210003</v>
      </c>
      <c r="R8" s="27">
        <f>SUM(pStage3Death*L7*(1-'Life Table - Male'!B52),R7)</f>
        <v>33.529330915161388</v>
      </c>
      <c r="S8" s="19">
        <f t="shared" si="11"/>
        <v>0</v>
      </c>
      <c r="T8" s="23">
        <f t="shared" si="12"/>
        <v>0</v>
      </c>
      <c r="U8" s="237">
        <f>SUM(B7*'Life Table - Male'!B52,U7)</f>
        <v>23.824656152312539</v>
      </c>
      <c r="V8" s="49">
        <f t="shared" si="14"/>
        <v>0</v>
      </c>
      <c r="W8" s="54">
        <v>0.66666666666666663</v>
      </c>
      <c r="X8" s="13">
        <f t="shared" si="15"/>
        <v>767915.33137568587</v>
      </c>
      <c r="Y8" s="25">
        <f t="shared" si="15"/>
        <v>510.67721152902561</v>
      </c>
    </row>
    <row r="9" spans="1:25" x14ac:dyDescent="0.2">
      <c r="A9" s="10">
        <v>6</v>
      </c>
      <c r="B9" s="15">
        <f t="shared" si="13"/>
        <v>924.43230232098335</v>
      </c>
      <c r="C9" s="27">
        <f>(1-SUM(pHealthyStage1,pHealthyStage2,pHealthyStage3))*C8*(1-'Life Table - Male'!B53)</f>
        <v>588.26524366029503</v>
      </c>
      <c r="D9" s="19">
        <f t="shared" si="2"/>
        <v>0</v>
      </c>
      <c r="E9" s="20">
        <f t="shared" si="1"/>
        <v>656.88384042622806</v>
      </c>
      <c r="F9" s="27">
        <f>SUM(pHealthyStage1*C8,(1-SUM(pStage1Remission,pStage1Stage2))*F8,pStage2Stage1*I8,pRemissionStage1*O8)*(1-'Life Table - Male'!B53)</f>
        <v>117.85801658715607</v>
      </c>
      <c r="G9" s="19">
        <f t="shared" si="3"/>
        <v>210569.03128683564</v>
      </c>
      <c r="H9" s="20">
        <f t="shared" si="4"/>
        <v>115.8129672077596</v>
      </c>
      <c r="I9" s="27">
        <f>SUM(pHealthyStage2*C8,pStage1Stage2*F8,(1-SUM(pStage2Remission, pStage2Stage1, pStage2Stage3))*I8,pStage3Stage2*L8,pRemissionStage2*O8)*(1-'Life Table - Male'!B53)</f>
        <v>67.66088788518087</v>
      </c>
      <c r="J9" s="19">
        <f t="shared" si="5"/>
        <v>543983.31261193706</v>
      </c>
      <c r="K9" s="20">
        <f t="shared" si="6"/>
        <v>53.642798882566012</v>
      </c>
      <c r="L9" s="27">
        <f>SUM(pHealthyStage3*C8,pStage2Stage3*I8,(1-SUM(pStage3Death, pStage3Stage2))*L8)*(1-'Life Table - Male'!B53)</f>
        <v>29.772080133968213</v>
      </c>
      <c r="M9" s="19">
        <f t="shared" si="7"/>
        <v>771280.85720187135</v>
      </c>
      <c r="N9" s="20">
        <f t="shared" si="8"/>
        <v>11.968151232442828</v>
      </c>
      <c r="O9" s="27">
        <f>SUM(pStage1Remission*F8,pStage2Remission*I8,(1-SUM(pRemissionStage1, pRemissionStage2))*O8)*(1-'Life Table - Male'!B53)</f>
        <v>120.87607405438322</v>
      </c>
      <c r="P9" s="19">
        <f t="shared" si="9"/>
        <v>67487.872686849005</v>
      </c>
      <c r="Q9" s="23">
        <f t="shared" si="10"/>
        <v>128.2269581050131</v>
      </c>
      <c r="R9" s="27">
        <f>SUM(pStage3Death*L8*(1-'Life Table - Male'!B53),R8)</f>
        <v>46.137939068433745</v>
      </c>
      <c r="S9" s="19">
        <f t="shared" si="11"/>
        <v>0</v>
      </c>
      <c r="T9" s="23">
        <f t="shared" si="12"/>
        <v>0</v>
      </c>
      <c r="U9" s="237">
        <f>SUM(B8*'Life Table - Male'!B53,U8)</f>
        <v>29.429758610583079</v>
      </c>
      <c r="V9" s="49">
        <f t="shared" si="14"/>
        <v>0</v>
      </c>
      <c r="W9" s="54">
        <v>1.3333333333333333</v>
      </c>
      <c r="X9" s="13">
        <f t="shared" si="15"/>
        <v>1593321.0737874932</v>
      </c>
      <c r="Y9" s="25">
        <f t="shared" si="15"/>
        <v>966.53471585400951</v>
      </c>
    </row>
    <row r="10" spans="1:25" x14ac:dyDescent="0.2">
      <c r="A10" s="10">
        <v>7</v>
      </c>
      <c r="B10" s="15">
        <f t="shared" si="13"/>
        <v>905.19684760033601</v>
      </c>
      <c r="C10" s="27">
        <f>(1-SUM(pHealthyStage1,pHealthyStage2,pHealthyStage3))*C9*(1-'Life Table - Male'!B54)</f>
        <v>537.73592507580793</v>
      </c>
      <c r="D10" s="19">
        <f t="shared" si="2"/>
        <v>0</v>
      </c>
      <c r="E10" s="20">
        <f t="shared" si="1"/>
        <v>291.48567734900342</v>
      </c>
      <c r="F10" s="27">
        <f>SUM(pHealthyStage1*C9,(1-SUM(pStage1Remission,pStage1Stage2))*F9,pStage2Stage1*I9,pRemissionStage1*O9)*(1-'Life Table - Male'!B54)</f>
        <v>120.71309213216784</v>
      </c>
      <c r="G10" s="19">
        <f t="shared" si="3"/>
        <v>104694.17655538543</v>
      </c>
      <c r="H10" s="20">
        <f t="shared" si="4"/>
        <v>57.581797105462002</v>
      </c>
      <c r="I10" s="27">
        <f>SUM(pHealthyStage2*C9,pStage1Stage2*F9,(1-SUM(pStage2Remission, pStage2Stage1, pStage2Stage3))*I9,pStage3Stage2*L9,pRemissionStage2*O9)*(1-'Life Table - Male'!B54)</f>
        <v>71.220712794033176</v>
      </c>
      <c r="J10" s="19">
        <f t="shared" si="5"/>
        <v>277962.99362232652</v>
      </c>
      <c r="K10" s="20">
        <f t="shared" si="6"/>
        <v>27.410239648868309</v>
      </c>
      <c r="L10" s="27">
        <f>SUM(pHealthyStage3*C9,pStage2Stage3*I9,(1-SUM(pStage3Death, pStage3Stage2))*L9)*(1-'Life Table - Male'!B54)</f>
        <v>30.719700620047405</v>
      </c>
      <c r="M10" s="19">
        <f t="shared" si="7"/>
        <v>386325.28338662477</v>
      </c>
      <c r="N10" s="20">
        <f t="shared" si="8"/>
        <v>5.9947026732407291</v>
      </c>
      <c r="O10" s="27">
        <f>SUM(pStage1Remission*F9,pStage2Remission*I9,(1-SUM(pRemissionStage1, pRemissionStage2))*O9)*(1-'Life Table - Male'!B54)</f>
        <v>144.80741697827969</v>
      </c>
      <c r="P10" s="19">
        <f t="shared" si="9"/>
        <v>39247.227174865548</v>
      </c>
      <c r="Q10" s="23">
        <f t="shared" si="10"/>
        <v>74.569731632244554</v>
      </c>
      <c r="R10" s="27">
        <f>SUM(pStage3Death*L9*(1-'Life Table - Male'!B54),R9)</f>
        <v>59.449522781441033</v>
      </c>
      <c r="S10" s="19">
        <f t="shared" si="11"/>
        <v>0</v>
      </c>
      <c r="T10" s="23">
        <f t="shared" si="12"/>
        <v>0</v>
      </c>
      <c r="U10" s="237">
        <f>SUM(B9*'Life Table - Male'!B54,U9)</f>
        <v>35.353629618223188</v>
      </c>
      <c r="V10" s="49">
        <f t="shared" si="14"/>
        <v>0</v>
      </c>
      <c r="W10" s="54">
        <v>0.66666666666666663</v>
      </c>
      <c r="X10" s="13">
        <f t="shared" si="15"/>
        <v>808229.6807392023</v>
      </c>
      <c r="Y10" s="25">
        <f t="shared" si="15"/>
        <v>457.042148408819</v>
      </c>
    </row>
    <row r="11" spans="1:25" x14ac:dyDescent="0.2">
      <c r="A11" s="10">
        <v>8</v>
      </c>
      <c r="B11" s="15">
        <f t="shared" si="13"/>
        <v>885.17034525963993</v>
      </c>
      <c r="C11" s="27">
        <f>(1-SUM(pHealthyStage1,pHealthyStage2,pHealthyStage3))*C10*(1-'Life Table - Male'!B55)</f>
        <v>491.27455238864513</v>
      </c>
      <c r="D11" s="19">
        <f t="shared" si="2"/>
        <v>0</v>
      </c>
      <c r="E11" s="20">
        <f t="shared" si="1"/>
        <v>517.08889098538918</v>
      </c>
      <c r="F11" s="27">
        <f>SUM(pHealthyStage1*C10,(1-SUM(pStage1Remission,pStage1Stage2))*F10,pStage2Stage1*I10,pRemissionStage1*O10)*(1-'Life Table - Male'!B55)</f>
        <v>122.53345714989756</v>
      </c>
      <c r="G11" s="19">
        <f t="shared" si="3"/>
        <v>206355.29085128551</v>
      </c>
      <c r="H11" s="20">
        <f t="shared" si="4"/>
        <v>113.49540996820703</v>
      </c>
      <c r="I11" s="27">
        <f>SUM(pHealthyStage2*C10,pStage1Stage2*F10,(1-SUM(pStage2Remission, pStage2Stage1, pStage2Stage3))*I10,pStage3Stage2*L10,pRemissionStage2*O10)*(1-'Life Table - Male'!B55)</f>
        <v>73.817550972061923</v>
      </c>
      <c r="J11" s="19">
        <f t="shared" si="5"/>
        <v>559413.66136113915</v>
      </c>
      <c r="K11" s="20">
        <f t="shared" si="6"/>
        <v>55.164402717556776</v>
      </c>
      <c r="L11" s="27">
        <f>SUM(pHealthyStage3*C10,pStage2Stage3*I10,(1-SUM(pStage3Death, pStage3Stage2))*L10)*(1-'Life Table - Male'!B55)</f>
        <v>31.201677567385541</v>
      </c>
      <c r="M11" s="19">
        <f t="shared" si="7"/>
        <v>761915.60483799863</v>
      </c>
      <c r="N11" s="20">
        <f t="shared" si="8"/>
        <v>11.82282835093446</v>
      </c>
      <c r="O11" s="27">
        <f>SUM(pStage1Remission*F10,pStage2Remission*I10,(1-SUM(pRemissionStage1, pRemissionStage2))*O10)*(1-'Life Table - Male'!B55)</f>
        <v>166.34310718164974</v>
      </c>
      <c r="P11" s="19">
        <f t="shared" si="9"/>
        <v>87541.856582444714</v>
      </c>
      <c r="Q11" s="23">
        <f t="shared" si="10"/>
        <v>166.32952750664492</v>
      </c>
      <c r="R11" s="27">
        <f>SUM(pStage3Death*L10*(1-'Life Table - Male'!B55),R10)</f>
        <v>73.177194412218768</v>
      </c>
      <c r="S11" s="19">
        <f t="shared" si="11"/>
        <v>0</v>
      </c>
      <c r="T11" s="23">
        <f t="shared" si="12"/>
        <v>0</v>
      </c>
      <c r="U11" s="237">
        <f>SUM(B10*'Life Table - Male'!B55,U10)</f>
        <v>41.652460328141572</v>
      </c>
      <c r="V11" s="49">
        <f t="shared" si="14"/>
        <v>0</v>
      </c>
      <c r="W11" s="54">
        <v>1.3333333333333333</v>
      </c>
      <c r="X11" s="13">
        <f t="shared" si="15"/>
        <v>1615226.4136328679</v>
      </c>
      <c r="Y11" s="25">
        <f t="shared" si="15"/>
        <v>863.90105952873239</v>
      </c>
    </row>
    <row r="12" spans="1:25" x14ac:dyDescent="0.2">
      <c r="A12" s="10">
        <v>9</v>
      </c>
      <c r="B12" s="15">
        <f t="shared" si="13"/>
        <v>864.50266346851595</v>
      </c>
      <c r="C12" s="27">
        <f>(1-SUM(pHealthyStage1,pHealthyStage2,pHealthyStage3))*C11*(1-'Life Table - Male'!B56)</f>
        <v>448.53430607565599</v>
      </c>
      <c r="D12" s="19">
        <f t="shared" si="2"/>
        <v>0</v>
      </c>
      <c r="E12" s="20">
        <f t="shared" si="1"/>
        <v>229.17613147101363</v>
      </c>
      <c r="F12" s="27">
        <f>SUM(pHealthyStage1*C11,(1-SUM(pStage1Remission,pStage1Stage2))*F11,pStage2Stage1*I11,pRemissionStage1*O11)*(1-'Life Table - Male'!B56)</f>
        <v>123.58828534983482</v>
      </c>
      <c r="G12" s="19">
        <f t="shared" si="3"/>
        <v>101034.80513469028</v>
      </c>
      <c r="H12" s="20">
        <f t="shared" si="4"/>
        <v>55.569142824079655</v>
      </c>
      <c r="I12" s="27">
        <f>SUM(pHealthyStage2*C11,pStage1Stage2*F11,(1-SUM(pStage2Remission, pStage2Stage1, pStage2Stage3))*I11,pStage3Stage2*L11,pRemissionStage2*O11)*(1-'Life Table - Male'!B56)</f>
        <v>75.666577282743958</v>
      </c>
      <c r="J12" s="19">
        <f t="shared" si="5"/>
        <v>278362.22836160229</v>
      </c>
      <c r="K12" s="20">
        <f t="shared" si="6"/>
        <v>27.449608630102443</v>
      </c>
      <c r="L12" s="27">
        <f>SUM(pHealthyStage3*C11,pStage2Stage3*I11,(1-SUM(pStage3Death, pStage3Stage2))*L11)*(1-'Life Table - Male'!B56)</f>
        <v>31.34593175051301</v>
      </c>
      <c r="M12" s="19">
        <f t="shared" si="7"/>
        <v>371571.92050684866</v>
      </c>
      <c r="N12" s="20">
        <f t="shared" si="8"/>
        <v>5.7657711802786853</v>
      </c>
      <c r="O12" s="27">
        <f>SUM(pStage1Remission*F11,pStage2Remission*I11,(1-SUM(pRemissionStage1, pRemissionStage2))*O11)*(1-'Life Table - Male'!B56)</f>
        <v>185.36756300976819</v>
      </c>
      <c r="P12" s="19">
        <f t="shared" si="9"/>
        <v>47356.267308149305</v>
      </c>
      <c r="Q12" s="23">
        <f t="shared" si="10"/>
        <v>89.976907885483669</v>
      </c>
      <c r="R12" s="27">
        <f>SUM(pStage3Death*L11*(1-'Life Table - Male'!B56),R11)</f>
        <v>87.111137360734347</v>
      </c>
      <c r="S12" s="19">
        <f t="shared" si="11"/>
        <v>0</v>
      </c>
      <c r="T12" s="23">
        <f t="shared" si="12"/>
        <v>0</v>
      </c>
      <c r="U12" s="237">
        <f>SUM(B11*'Life Table - Male'!B56,U11)</f>
        <v>48.38619917074994</v>
      </c>
      <c r="V12" s="49">
        <f t="shared" si="14"/>
        <v>0</v>
      </c>
      <c r="W12" s="54">
        <v>0.66666666666666663</v>
      </c>
      <c r="X12" s="13">
        <f t="shared" si="15"/>
        <v>798325.22131129052</v>
      </c>
      <c r="Y12" s="25">
        <f t="shared" si="15"/>
        <v>407.9375619909581</v>
      </c>
    </row>
    <row r="13" spans="1:25" x14ac:dyDescent="0.2">
      <c r="A13" s="10">
        <v>10</v>
      </c>
      <c r="B13" s="15">
        <f t="shared" si="13"/>
        <v>843.3160964310099</v>
      </c>
      <c r="C13" s="27">
        <f>(1-SUM(pHealthyStage1,pHealthyStage2,pHealthyStage3))*C12*(1-'Life Table - Male'!B57)</f>
        <v>409.2155857643175</v>
      </c>
      <c r="D13" s="19">
        <f t="shared" si="2"/>
        <v>0</v>
      </c>
      <c r="E13" s="20">
        <f t="shared" si="1"/>
        <v>405.9931029975034</v>
      </c>
      <c r="F13" s="27">
        <f>SUM(pHealthyStage1*C12,(1-SUM(pStage1Remission,pStage1Stage2))*F12,pStage2Stage1*I12,pRemissionStage1*O12)*(1-'Life Table - Male'!B57)</f>
        <v>124.03770422378641</v>
      </c>
      <c r="G13" s="19">
        <f t="shared" si="3"/>
        <v>196897.49531878246</v>
      </c>
      <c r="H13" s="20">
        <f t="shared" si="4"/>
        <v>108.29362242533037</v>
      </c>
      <c r="I13" s="27">
        <f>SUM(pHealthyStage2*C12,pStage1Stage2*F12,(1-SUM(pStage2Remission, pStage2Stage1, pStage2Stage3))*I12,pStage3Stage2*L12,pRemissionStage2*O12)*(1-'Life Table - Male'!B57)</f>
        <v>76.919283533902458</v>
      </c>
      <c r="J13" s="19">
        <f t="shared" si="5"/>
        <v>549457.63983160979</v>
      </c>
      <c r="K13" s="20">
        <f t="shared" si="6"/>
        <v>54.182628372283737</v>
      </c>
      <c r="L13" s="27">
        <f>SUM(pHealthyStage3*C12,pStage2Stage3*I12,(1-SUM(pStage3Death, pStage3Stage2))*L12)*(1-'Life Table - Male'!B57)</f>
        <v>31.245939216686509</v>
      </c>
      <c r="M13" s="19">
        <f t="shared" si="7"/>
        <v>719197.31611169281</v>
      </c>
      <c r="N13" s="20">
        <f t="shared" si="8"/>
        <v>11.159958353457302</v>
      </c>
      <c r="O13" s="27">
        <f>SUM(pStage1Remission*F12,pStage2Remission*I12,(1-SUM(pRemissionStage1, pRemissionStage2))*O12)*(1-'Life Table - Male'!B57)</f>
        <v>201.89758369231694</v>
      </c>
      <c r="P13" s="19">
        <f t="shared" si="9"/>
        <v>100153.84230520357</v>
      </c>
      <c r="Q13" s="23">
        <f t="shared" si="10"/>
        <v>190.29230037988674</v>
      </c>
      <c r="R13" s="27">
        <f>SUM(pStage3Death*L12*(1-'Life Table - Male'!B57),R12)</f>
        <v>101.0993546788533</v>
      </c>
      <c r="S13" s="19">
        <f t="shared" si="11"/>
        <v>0</v>
      </c>
      <c r="T13" s="23">
        <f t="shared" si="12"/>
        <v>0</v>
      </c>
      <c r="U13" s="237">
        <f>SUM(B12*'Life Table - Male'!B57,U12)</f>
        <v>55.584548890137242</v>
      </c>
      <c r="V13" s="49">
        <f t="shared" si="14"/>
        <v>0</v>
      </c>
      <c r="W13" s="54">
        <v>1.3333333333333333</v>
      </c>
      <c r="X13" s="13">
        <f t="shared" si="15"/>
        <v>1565706.2935672889</v>
      </c>
      <c r="Y13" s="25">
        <f t="shared" si="15"/>
        <v>769.92161252846154</v>
      </c>
    </row>
    <row r="14" spans="1:25" x14ac:dyDescent="0.2">
      <c r="A14" s="10">
        <v>11</v>
      </c>
      <c r="B14" s="15">
        <f t="shared" si="13"/>
        <v>821.78613477875945</v>
      </c>
      <c r="C14" s="27">
        <f>(1-SUM(pHealthyStage1,pHealthyStage2,pHealthyStage3))*C13*(1-'Life Table - Male'!B58)</f>
        <v>373.08731433264489</v>
      </c>
      <c r="D14" s="19">
        <f t="shared" si="2"/>
        <v>0</v>
      </c>
      <c r="E14" s="20">
        <f t="shared" si="1"/>
        <v>179.68414260199535</v>
      </c>
      <c r="F14" s="27">
        <f>SUM(pHealthyStage1*C13,(1-SUM(pStage1Remission,pStage1Stage2))*F13,pStage2Stage1*I13,pRemissionStage1*O13)*(1-'Life Table - Male'!B58)</f>
        <v>123.99401667209762</v>
      </c>
      <c r="G14" s="19">
        <f t="shared" si="3"/>
        <v>95547.643535855983</v>
      </c>
      <c r="H14" s="20">
        <f t="shared" si="4"/>
        <v>52.551203944720783</v>
      </c>
      <c r="I14" s="27">
        <f>SUM(pHealthyStage2*C13,pStage1Stage2*F13,(1-SUM(pStage2Remission, pStage2Stage1, pStage2Stage3))*I13,pStage3Stage2*L13,pRemissionStage2*O13)*(1-'Life Table - Male'!B58)</f>
        <v>77.690690642272187</v>
      </c>
      <c r="J14" s="19">
        <f t="shared" si="5"/>
        <v>269401.95798542298</v>
      </c>
      <c r="K14" s="20">
        <f t="shared" si="6"/>
        <v>26.566026412451432</v>
      </c>
      <c r="L14" s="27">
        <f>SUM(pHealthyStage3*C13,pStage2Stage3*I13,(1-SUM(pStage3Death, pStage3Stage2))*L13)*(1-'Life Table - Male'!B58)</f>
        <v>30.971515075514482</v>
      </c>
      <c r="M14" s="19">
        <f t="shared" si="7"/>
        <v>346058.6465666552</v>
      </c>
      <c r="N14" s="20">
        <f t="shared" si="8"/>
        <v>5.3698755501722353</v>
      </c>
      <c r="O14" s="27">
        <f>SUM(pStage1Remission*F13,pStage2Remission*I13,(1-SUM(pRemissionStage1, pRemissionStage2))*O13)*(1-'Life Table - Male'!B58)</f>
        <v>216.04259805623019</v>
      </c>
      <c r="P14" s="19">
        <f t="shared" si="9"/>
        <v>52024.58982916503</v>
      </c>
      <c r="Q14" s="23">
        <f t="shared" si="10"/>
        <v>98.84672067541355</v>
      </c>
      <c r="R14" s="27">
        <f>SUM(pStage3Death*L13*(1-'Life Table - Male'!B58),R13)</f>
        <v>115.0333797041783</v>
      </c>
      <c r="S14" s="19">
        <f t="shared" si="11"/>
        <v>0</v>
      </c>
      <c r="T14" s="23">
        <f t="shared" si="12"/>
        <v>0</v>
      </c>
      <c r="U14" s="237">
        <f>SUM(B13*'Life Table - Male'!B58,U13)</f>
        <v>63.180485517062749</v>
      </c>
      <c r="V14" s="49">
        <f t="shared" si="14"/>
        <v>0</v>
      </c>
      <c r="W14" s="54">
        <v>0.66666666666666663</v>
      </c>
      <c r="X14" s="13">
        <f t="shared" si="15"/>
        <v>763032.83791709924</v>
      </c>
      <c r="Y14" s="25">
        <f t="shared" si="15"/>
        <v>363.01796918475338</v>
      </c>
    </row>
    <row r="15" spans="1:25" x14ac:dyDescent="0.2">
      <c r="A15" s="10">
        <v>12</v>
      </c>
      <c r="B15" s="15">
        <f t="shared" si="13"/>
        <v>799.97854397357844</v>
      </c>
      <c r="C15" s="27">
        <f>(1-SUM(pHealthyStage1,pHealthyStage2,pHealthyStage3))*C14*(1-'Life Table - Male'!B59)</f>
        <v>339.89633551834248</v>
      </c>
      <c r="D15" s="19">
        <f t="shared" si="2"/>
        <v>0</v>
      </c>
      <c r="E15" s="20">
        <f t="shared" si="1"/>
        <v>317.86193477851424</v>
      </c>
      <c r="F15" s="27">
        <f>SUM(pHealthyStage1*C14,(1-SUM(pStage1Remission,pStage1Stage2))*F14,pStage2Stage1*I14,pRemissionStage1*O14)*(1-'Life Table - Male'!B59)</f>
        <v>123.52400771699565</v>
      </c>
      <c r="G15" s="19">
        <f t="shared" si="3"/>
        <v>184826.14129813825</v>
      </c>
      <c r="H15" s="20">
        <f t="shared" si="4"/>
        <v>101.65437771397605</v>
      </c>
      <c r="I15" s="27">
        <f>SUM(pHealthyStage2*C14,pStage1Stage2*F14,(1-SUM(pStage2Remission, pStage2Stage1, pStage2Stage3))*I14,pStage3Stage2*L14,pRemissionStage2*O14)*(1-'Life Table - Male'!B59)</f>
        <v>78.058308876175985</v>
      </c>
      <c r="J15" s="19">
        <f t="shared" si="5"/>
        <v>525585.86234532867</v>
      </c>
      <c r="K15" s="20">
        <f t="shared" si="6"/>
        <v>51.828605870164353</v>
      </c>
      <c r="L15" s="27">
        <f>SUM(pHealthyStage3*C14,pStage2Stage3*I14,(1-SUM(pStage3Death, pStage3Stage2))*L14)*(1-'Life Table - Male'!B59)</f>
        <v>30.569483289949819</v>
      </c>
      <c r="M15" s="19">
        <f t="shared" si="7"/>
        <v>663236.04831628466</v>
      </c>
      <c r="N15" s="20">
        <f t="shared" si="8"/>
        <v>10.291593853183727</v>
      </c>
      <c r="O15" s="27">
        <f>SUM(pStage1Remission*F14,pStage2Remission*I14,(1-SUM(pRemissionStage1, pRemissionStage2))*O14)*(1-'Life Table - Male'!B59)</f>
        <v>227.93040857211452</v>
      </c>
      <c r="P15" s="19">
        <f t="shared" si="9"/>
        <v>106577.20177109673</v>
      </c>
      <c r="Q15" s="23">
        <f t="shared" si="10"/>
        <v>202.49668336508378</v>
      </c>
      <c r="R15" s="27">
        <f>SUM(pStage3Death*L14*(1-'Life Table - Male'!B59),R14)</f>
        <v>128.83477951946864</v>
      </c>
      <c r="S15" s="19">
        <f t="shared" si="11"/>
        <v>0</v>
      </c>
      <c r="T15" s="23">
        <f t="shared" si="12"/>
        <v>0</v>
      </c>
      <c r="U15" s="237">
        <f>SUM(B14*'Life Table - Male'!B59,U14)</f>
        <v>71.186676506953305</v>
      </c>
      <c r="V15" s="49">
        <f t="shared" si="14"/>
        <v>0</v>
      </c>
      <c r="W15" s="54">
        <v>1.3333333333333333</v>
      </c>
      <c r="X15" s="13">
        <f t="shared" si="15"/>
        <v>1480225.2537308484</v>
      </c>
      <c r="Y15" s="25">
        <f t="shared" si="15"/>
        <v>684.13319558092212</v>
      </c>
    </row>
    <row r="16" spans="1:25" x14ac:dyDescent="0.2">
      <c r="A16" s="10">
        <v>13</v>
      </c>
      <c r="B16" s="15">
        <f t="shared" si="13"/>
        <v>777.93403070239594</v>
      </c>
      <c r="C16" s="27">
        <f>(1-SUM(pHealthyStage1,pHealthyStage2,pHealthyStage3))*C15*(1-'Life Table - Male'!B60)</f>
        <v>309.40814001221196</v>
      </c>
      <c r="D16" s="19">
        <f t="shared" si="2"/>
        <v>0</v>
      </c>
      <c r="E16" s="20">
        <f t="shared" si="1"/>
        <v>140.46125836407501</v>
      </c>
      <c r="F16" s="27">
        <f>SUM(pHealthyStage1*C15,(1-SUM(pStage1Remission,pStage1Stage2))*F15,pStage2Stage1*I15,pRemissionStage1*O15)*(1-'Life Table - Male'!B60)</f>
        <v>122.67438366427351</v>
      </c>
      <c r="G16" s="19">
        <f t="shared" si="3"/>
        <v>89104.305001625864</v>
      </c>
      <c r="H16" s="20">
        <f t="shared" si="4"/>
        <v>49.007367750894232</v>
      </c>
      <c r="I16" s="27">
        <f>SUM(pHealthyStage2*C15,pStage1Stage2*F15,(1-SUM(pStage2Remission, pStage2Stage1, pStage2Stage3))*I15,pStage3Stage2*L15,pRemissionStage2*O15)*(1-'Life Table - Male'!B60)</f>
        <v>78.078445925166591</v>
      </c>
      <c r="J16" s="19">
        <f t="shared" si="5"/>
        <v>255204.58741116995</v>
      </c>
      <c r="K16" s="20">
        <f t="shared" si="6"/>
        <v>25.166007925268143</v>
      </c>
      <c r="L16" s="27">
        <f>SUM(pHealthyStage3*C15,pStage2Stage3*I15,(1-SUM(pStage3Death, pStage3Stage2))*L15)*(1-'Life Table - Male'!B60)</f>
        <v>30.072058340506175</v>
      </c>
      <c r="M16" s="19">
        <f t="shared" si="7"/>
        <v>316720.34361402685</v>
      </c>
      <c r="N16" s="20">
        <f t="shared" si="8"/>
        <v>4.9146260215969679</v>
      </c>
      <c r="O16" s="27">
        <f>SUM(pStage1Remission*F15,pStage2Remission*I15,(1-SUM(pRemissionStage1, pRemissionStage2))*O15)*(1-'Life Table - Male'!B60)</f>
        <v>237.70100276023766</v>
      </c>
      <c r="P16" s="19">
        <f t="shared" si="9"/>
        <v>53954.272115768639</v>
      </c>
      <c r="Q16" s="23">
        <f t="shared" si="10"/>
        <v>102.51311701996039</v>
      </c>
      <c r="R16" s="27">
        <f>SUM(pStage3Death*L15*(1-'Life Table - Male'!B60),R15)</f>
        <v>142.44603034314329</v>
      </c>
      <c r="S16" s="19">
        <f t="shared" si="11"/>
        <v>0</v>
      </c>
      <c r="T16" s="23">
        <f t="shared" si="12"/>
        <v>0</v>
      </c>
      <c r="U16" s="237">
        <f>SUM(B15*'Life Table - Male'!B60,U15)</f>
        <v>79.619938954461205</v>
      </c>
      <c r="V16" s="49">
        <f t="shared" si="14"/>
        <v>0</v>
      </c>
      <c r="W16" s="54">
        <v>0.66666666666666663</v>
      </c>
      <c r="X16" s="13">
        <f t="shared" si="15"/>
        <v>714983.50814259122</v>
      </c>
      <c r="Y16" s="25">
        <f t="shared" si="15"/>
        <v>322.06237708179475</v>
      </c>
    </row>
    <row r="17" spans="1:25" x14ac:dyDescent="0.2">
      <c r="A17" s="10">
        <v>14</v>
      </c>
      <c r="B17" s="15">
        <f t="shared" si="13"/>
        <v>755.66356220767182</v>
      </c>
      <c r="C17" s="27">
        <f>(1-SUM(pHealthyStage1,pHealthyStage2,pHealthyStage3))*C16*(1-'Life Table - Male'!B61)</f>
        <v>281.40152954292768</v>
      </c>
      <c r="D17" s="19">
        <f t="shared" si="2"/>
        <v>0</v>
      </c>
      <c r="E17" s="20">
        <f t="shared" si="1"/>
        <v>248.05274902056493</v>
      </c>
      <c r="F17" s="27">
        <f>SUM(pHealthyStage1*C16,(1-SUM(pStage1Remission,pStage1Stage2))*F16,pStage2Stage1*I16,pRemissionStage1*O16)*(1-'Life Table - Male'!B61)</f>
        <v>121.47807898150373</v>
      </c>
      <c r="G17" s="19">
        <f t="shared" si="3"/>
        <v>171330.81820013371</v>
      </c>
      <c r="H17" s="20">
        <f t="shared" si="4"/>
        <v>94.231950010073533</v>
      </c>
      <c r="I17" s="27">
        <f>SUM(pHealthyStage2*C16,pStage1Stage2*F16,(1-SUM(pStage2Remission, pStage2Stage1, pStage2Stage3))*I16,pStage3Stage2*L16,pRemissionStage2*O16)*(1-'Life Table - Male'!B61)</f>
        <v>77.791784034184005</v>
      </c>
      <c r="J17" s="19">
        <f t="shared" si="5"/>
        <v>493723.52228539804</v>
      </c>
      <c r="K17" s="20">
        <f t="shared" si="6"/>
        <v>48.686625114254525</v>
      </c>
      <c r="L17" s="27">
        <f>SUM(pHealthyStage3*C16,pStage2Stage3*I16,(1-SUM(pStage3Death, pStage3Stage2))*L16)*(1-'Life Table - Male'!B61)</f>
        <v>29.500748418753279</v>
      </c>
      <c r="M17" s="19">
        <f t="shared" si="7"/>
        <v>603307.34066537046</v>
      </c>
      <c r="N17" s="20">
        <f t="shared" si="8"/>
        <v>9.3616656310143682</v>
      </c>
      <c r="O17" s="27">
        <f>SUM(pStage1Remission*F16,pStage2Remission*I16,(1-SUM(pRemissionStage1, pRemissionStage2))*O16)*(1-'Life Table - Male'!B61)</f>
        <v>245.4914212303031</v>
      </c>
      <c r="P17" s="19">
        <f t="shared" si="9"/>
        <v>108199.16650071491</v>
      </c>
      <c r="Q17" s="23">
        <f t="shared" si="10"/>
        <v>205.57841635135833</v>
      </c>
      <c r="R17" s="27">
        <f>SUM(pStage3Death*L16*(1-'Life Table - Male'!B61),R16)</f>
        <v>155.82376446655033</v>
      </c>
      <c r="S17" s="19">
        <f t="shared" si="11"/>
        <v>0</v>
      </c>
      <c r="T17" s="23">
        <f t="shared" si="12"/>
        <v>0</v>
      </c>
      <c r="U17" s="237">
        <f>SUM(B16*'Life Table - Male'!B61,U16)</f>
        <v>88.512673325778181</v>
      </c>
      <c r="V17" s="49">
        <f t="shared" si="14"/>
        <v>0</v>
      </c>
      <c r="W17" s="54">
        <v>1.3333333333333333</v>
      </c>
      <c r="X17" s="13">
        <f t="shared" si="15"/>
        <v>1376560.8476516169</v>
      </c>
      <c r="Y17" s="25">
        <f t="shared" si="15"/>
        <v>605.91140612726576</v>
      </c>
    </row>
    <row r="18" spans="1:25" x14ac:dyDescent="0.2">
      <c r="A18" s="10">
        <v>15</v>
      </c>
      <c r="B18" s="15">
        <f t="shared" si="13"/>
        <v>733.18288496754462</v>
      </c>
      <c r="C18" s="27">
        <f>(1-SUM(pHealthyStage1,pHealthyStage2,pHealthyStage3))*C17*(1-'Life Table - Male'!B62)</f>
        <v>255.67927392195537</v>
      </c>
      <c r="D18" s="19">
        <f t="shared" si="2"/>
        <v>0</v>
      </c>
      <c r="E18" s="20">
        <f t="shared" si="1"/>
        <v>109.40719777901673</v>
      </c>
      <c r="F18" s="27">
        <f>SUM(pHealthyStage1*C17,(1-SUM(pStage1Remission,pStage1Stage2))*F17,pStage2Stage1*I17,pRemissionStage1*O17)*(1-'Life Table - Male'!B62)</f>
        <v>119.96338136371733</v>
      </c>
      <c r="G18" s="19">
        <f t="shared" si="3"/>
        <v>82133.25821697143</v>
      </c>
      <c r="H18" s="20">
        <f t="shared" si="4"/>
        <v>45.173292019334284</v>
      </c>
      <c r="I18" s="27">
        <f>SUM(pHealthyStage2*C17,pStage1Stage2*F17,(1-SUM(pStage2Remission, pStage2Stage1, pStage2Stage3))*I17,pStage3Stage2*L17,pRemissionStage2*O17)*(1-'Life Table - Male'!B62)</f>
        <v>77.230859790405603</v>
      </c>
      <c r="J18" s="19">
        <f t="shared" si="5"/>
        <v>237943.44030812444</v>
      </c>
      <c r="K18" s="20">
        <f t="shared" si="6"/>
        <v>23.463867030384495</v>
      </c>
      <c r="L18" s="27">
        <f>SUM(pHealthyStage3*C17,pStage2Stage3*I17,(1-SUM(pStage3Death, pStage3Stage2))*L17)*(1-'Life Table - Male'!B62)</f>
        <v>28.870676733143242</v>
      </c>
      <c r="M18" s="19">
        <f t="shared" si="7"/>
        <v>286612.62662789138</v>
      </c>
      <c r="N18" s="20">
        <f t="shared" si="8"/>
        <v>4.447437309743143</v>
      </c>
      <c r="O18" s="27">
        <f>SUM(pStage1Remission*F17,pStage2Remission*I17,(1-SUM(pRemissionStage1, pRemissionStage2))*O17)*(1-'Life Table - Male'!B62)</f>
        <v>251.4386931583231</v>
      </c>
      <c r="P18" s="19">
        <f t="shared" si="9"/>
        <v>53796.309747162333</v>
      </c>
      <c r="Q18" s="23">
        <f t="shared" si="10"/>
        <v>102.21298851960844</v>
      </c>
      <c r="R18" s="27">
        <f>SUM(pStage3Death*L17*(1-'Life Table - Male'!B62),R17)</f>
        <v>168.93449197029949</v>
      </c>
      <c r="S18" s="19">
        <f t="shared" si="11"/>
        <v>0</v>
      </c>
      <c r="T18" s="23">
        <f t="shared" si="12"/>
        <v>0</v>
      </c>
      <c r="U18" s="237">
        <f>SUM(B17*'Life Table - Male'!B62,U17)</f>
        <v>97.882623062156185</v>
      </c>
      <c r="V18" s="49">
        <f t="shared" si="14"/>
        <v>0</v>
      </c>
      <c r="W18" s="54">
        <v>0.66666666666666663</v>
      </c>
      <c r="X18" s="13">
        <f t="shared" si="15"/>
        <v>660485.63490014966</v>
      </c>
      <c r="Y18" s="25">
        <f t="shared" si="15"/>
        <v>284.70478265808708</v>
      </c>
    </row>
    <row r="19" spans="1:25" x14ac:dyDescent="0.2">
      <c r="A19" s="10">
        <v>16</v>
      </c>
      <c r="B19" s="15">
        <f t="shared" si="13"/>
        <v>710.6052816549352</v>
      </c>
      <c r="C19" s="27">
        <f>(1-SUM(pHealthyStage1,pHealthyStage2,pHealthyStage3))*C18*(1-'Life Table - Male'!B63)</f>
        <v>232.09407003538257</v>
      </c>
      <c r="D19" s="19">
        <f t="shared" si="2"/>
        <v>0</v>
      </c>
      <c r="E19" s="20">
        <f t="shared" si="1"/>
        <v>192.84446831345093</v>
      </c>
      <c r="F19" s="27">
        <f>SUM(pHealthyStage1*C18,(1-SUM(pStage1Remission,pStage1Stage2))*F18,pStage2Stage1*I18,pRemissionStage1*O18)*(1-'Life Table - Male'!B63)</f>
        <v>118.17148486959461</v>
      </c>
      <c r="G19" s="19">
        <f t="shared" si="3"/>
        <v>157099.8667291335</v>
      </c>
      <c r="H19" s="20">
        <f t="shared" si="4"/>
        <v>86.404926701023427</v>
      </c>
      <c r="I19" s="27">
        <f>SUM(pHealthyStage2*C18,pStage1Stage2*F18,(1-SUM(pStage2Remission, pStage2Stage1, pStage2Stage3))*I18,pStage3Stage2*L18,pRemissionStage2*O18)*(1-'Life Table - Male'!B63)</f>
        <v>76.432857398550794</v>
      </c>
      <c r="J19" s="19">
        <f t="shared" si="5"/>
        <v>457252.12608866277</v>
      </c>
      <c r="K19" s="20">
        <f t="shared" si="6"/>
        <v>45.090140211520911</v>
      </c>
      <c r="L19" s="27">
        <f>SUM(pHealthyStage3*C18,pStage2Stage3*I18,(1-SUM(pStage3Death, pStage3Stage2))*L18)*(1-'Life Table - Male'!B63)</f>
        <v>28.196401195472767</v>
      </c>
      <c r="M19" s="19">
        <f t="shared" si="7"/>
        <v>543531.61159482563</v>
      </c>
      <c r="N19" s="20">
        <f t="shared" si="8"/>
        <v>8.4341112144024653</v>
      </c>
      <c r="O19" s="27">
        <f>SUM(pStage1Remission*F18,pStage2Remission*I18,(1-SUM(pRemissionStage1, pRemissionStage2))*O18)*(1-'Life Table - Male'!B63)</f>
        <v>255.71046815593439</v>
      </c>
      <c r="P19" s="19">
        <f t="shared" si="9"/>
        <v>106233.53984485076</v>
      </c>
      <c r="Q19" s="23">
        <f t="shared" si="10"/>
        <v>201.84372570521646</v>
      </c>
      <c r="R19" s="27">
        <f>SUM(pStage3Death*L18*(1-'Life Table - Male'!B63),R18)</f>
        <v>181.75337458069754</v>
      </c>
      <c r="S19" s="19">
        <f t="shared" si="11"/>
        <v>0</v>
      </c>
      <c r="T19" s="23">
        <f t="shared" si="12"/>
        <v>0</v>
      </c>
      <c r="U19" s="237">
        <f>SUM(B18*'Life Table - Male'!B63,U18)</f>
        <v>107.64134376436759</v>
      </c>
      <c r="V19" s="49">
        <f t="shared" si="14"/>
        <v>0</v>
      </c>
      <c r="W19" s="54">
        <v>1.3333333333333333</v>
      </c>
      <c r="X19" s="13">
        <f t="shared" si="15"/>
        <v>1264117.1442574726</v>
      </c>
      <c r="Y19" s="25">
        <f t="shared" si="15"/>
        <v>534.61737214561424</v>
      </c>
    </row>
    <row r="20" spans="1:25" x14ac:dyDescent="0.2">
      <c r="A20" s="10">
        <v>17</v>
      </c>
      <c r="B20" s="15">
        <f t="shared" si="13"/>
        <v>687.89735120293903</v>
      </c>
      <c r="C20" s="27">
        <f>(1-SUM(pHealthyStage1,pHealthyStage2,pHealthyStage3))*C19*(1-'Life Table - Male'!B64)</f>
        <v>210.46107938006654</v>
      </c>
      <c r="D20" s="19">
        <f t="shared" si="2"/>
        <v>0</v>
      </c>
      <c r="E20" s="20">
        <f t="shared" si="1"/>
        <v>84.888276156788066</v>
      </c>
      <c r="F20" s="27">
        <f>SUM(pHealthyStage1*C19,(1-SUM(pStage1Remission,pStage1Stage2))*F19,pStage2Stage1*I19,pRemissionStage1*O19)*(1-'Life Table - Male'!B64)</f>
        <v>116.11755135782668</v>
      </c>
      <c r="G20" s="19">
        <f t="shared" si="3"/>
        <v>74936.563437557314</v>
      </c>
      <c r="H20" s="20">
        <f t="shared" si="4"/>
        <v>41.215109890656528</v>
      </c>
      <c r="I20" s="27">
        <f>SUM(pHealthyStage2*C19,pStage1Stage2*F19,(1-SUM(pStage2Remission, pStage2Stage1, pStage2Stage3))*I19,pStage3Stage2*L19,pRemissionStage2*O19)*(1-'Life Table - Male'!B64)</f>
        <v>75.415623606789964</v>
      </c>
      <c r="J20" s="19">
        <f t="shared" si="5"/>
        <v>219012.92426758603</v>
      </c>
      <c r="K20" s="20">
        <f t="shared" si="6"/>
        <v>21.597107809720288</v>
      </c>
      <c r="L20" s="27">
        <f>SUM(pHealthyStage3*C19,pStage2Stage3*I19,(1-SUM(pStage3Death, pStage3Stage2))*L19)*(1-'Life Table - Male'!B64)</f>
        <v>27.483756016919351</v>
      </c>
      <c r="M20" s="19">
        <f t="shared" si="7"/>
        <v>257181.65713643748</v>
      </c>
      <c r="N20" s="20">
        <f t="shared" si="8"/>
        <v>3.9907498521171338</v>
      </c>
      <c r="O20" s="27">
        <f>SUM(pStage1Remission*F19,pStage2Remission*I19,(1-SUM(pRemissionStage1, pRemissionStage2))*O19)*(1-'Life Table - Male'!B64)</f>
        <v>258.41934084133652</v>
      </c>
      <c r="P20" s="19">
        <f t="shared" si="9"/>
        <v>52115.983711124645</v>
      </c>
      <c r="Q20" s="23">
        <f t="shared" si="10"/>
        <v>99.020369051136811</v>
      </c>
      <c r="R20" s="27">
        <f>SUM(pStage3Death*L19*(1-'Life Table - Male'!B64),R19)</f>
        <v>194.25959609381806</v>
      </c>
      <c r="S20" s="19">
        <f t="shared" si="11"/>
        <v>0</v>
      </c>
      <c r="T20" s="23">
        <f t="shared" si="12"/>
        <v>0</v>
      </c>
      <c r="U20" s="237">
        <f>SUM(B19*'Life Table - Male'!B64,U19)</f>
        <v>117.84305270324326</v>
      </c>
      <c r="V20" s="49">
        <f t="shared" si="14"/>
        <v>0</v>
      </c>
      <c r="W20" s="54">
        <v>0.66666666666666663</v>
      </c>
      <c r="X20" s="13">
        <f t="shared" si="15"/>
        <v>603247.12855270552</v>
      </c>
      <c r="Y20" s="25">
        <f t="shared" si="15"/>
        <v>250.71161276041883</v>
      </c>
    </row>
    <row r="21" spans="1:25" x14ac:dyDescent="0.2">
      <c r="A21" s="10">
        <v>18</v>
      </c>
      <c r="B21" s="15">
        <f t="shared" si="13"/>
        <v>665.13396828947066</v>
      </c>
      <c r="C21" s="27">
        <f>(1-SUM(pHealthyStage1,pHealthyStage2,pHealthyStage3))*C20*(1-'Life Table - Male'!B65)</f>
        <v>190.64451985263193</v>
      </c>
      <c r="D21" s="19">
        <f t="shared" si="2"/>
        <v>0</v>
      </c>
      <c r="E21" s="20">
        <f t="shared" si="1"/>
        <v>149.31141724404179</v>
      </c>
      <c r="F21" s="27">
        <f>SUM(pHealthyStage1*C20,(1-SUM(pStage1Remission,pStage1Stage2))*F20,pStage2Stage1*I20,pRemissionStage1*O20)*(1-'Life Table - Male'!B65)</f>
        <v>113.8330275047564</v>
      </c>
      <c r="G21" s="19">
        <f t="shared" si="3"/>
        <v>142645.13391985049</v>
      </c>
      <c r="H21" s="20">
        <f t="shared" si="4"/>
        <v>78.45482365591775</v>
      </c>
      <c r="I21" s="27">
        <f>SUM(pHealthyStage2*C20,pStage1Stage2*F20,(1-SUM(pStage2Remission, pStage2Stage1, pStage2Stage3))*I20,pStage3Stage2*L20,pRemissionStage2*O20)*(1-'Life Table - Male'!B65)</f>
        <v>74.205709671912146</v>
      </c>
      <c r="J21" s="19">
        <f t="shared" si="5"/>
        <v>418445.12366995803</v>
      </c>
      <c r="K21" s="20">
        <f t="shared" si="6"/>
        <v>41.263338584120866</v>
      </c>
      <c r="L21" s="27">
        <f>SUM(pHealthyStage3*C20,pStage2Stage3*I20,(1-SUM(pStage3Death, pStage3Stage2))*L20)*(1-'Life Table - Male'!B65)</f>
        <v>26.740886409010656</v>
      </c>
      <c r="M21" s="19">
        <f t="shared" si="7"/>
        <v>485883.86336686893</v>
      </c>
      <c r="N21" s="20">
        <f t="shared" si="8"/>
        <v>7.5395771901755531</v>
      </c>
      <c r="O21" s="27">
        <f>SUM(pStage1Remission*F20,pStage2Remission*I20,(1-SUM(pRemissionStage1, pRemissionStage2))*O20)*(1-'Life Table - Male'!B65)</f>
        <v>259.70982485115945</v>
      </c>
      <c r="P21" s="19">
        <f t="shared" si="9"/>
        <v>101701.43377502688</v>
      </c>
      <c r="Q21" s="23">
        <f t="shared" si="10"/>
        <v>193.23272417255103</v>
      </c>
      <c r="R21" s="27">
        <f>SUM(pStage3Death*L20*(1-'Life Table - Male'!B65),R20)</f>
        <v>206.43696052552116</v>
      </c>
      <c r="S21" s="19">
        <f t="shared" si="11"/>
        <v>0</v>
      </c>
      <c r="T21" s="23">
        <f t="shared" si="12"/>
        <v>0</v>
      </c>
      <c r="U21" s="237">
        <f>SUM(B20*'Life Table - Male'!B65,U20)</f>
        <v>128.42907118500867</v>
      </c>
      <c r="V21" s="49">
        <f t="shared" si="14"/>
        <v>0</v>
      </c>
      <c r="W21" s="54">
        <v>1.3333333333333333</v>
      </c>
      <c r="X21" s="13">
        <f t="shared" si="15"/>
        <v>1148675.5547317043</v>
      </c>
      <c r="Y21" s="25">
        <f t="shared" si="15"/>
        <v>469.80188084680697</v>
      </c>
    </row>
    <row r="22" spans="1:25" x14ac:dyDescent="0.2">
      <c r="A22" s="10">
        <v>19</v>
      </c>
      <c r="B22" s="15">
        <f t="shared" si="13"/>
        <v>642.39291372710341</v>
      </c>
      <c r="C22" s="27">
        <f>(1-SUM(pHealthyStage1,pHealthyStage2,pHealthyStage3))*C21*(1-'Life Table - Male'!B66)</f>
        <v>172.51737141995449</v>
      </c>
      <c r="D22" s="19">
        <f t="shared" si="2"/>
        <v>0</v>
      </c>
      <c r="E22" s="20">
        <f t="shared" si="1"/>
        <v>65.589497535415319</v>
      </c>
      <c r="F22" s="27">
        <f>SUM(pHealthyStage1*C21,(1-SUM(pStage1Remission,pStage1Stage2))*F21,pStage2Stage1*I21,pRemissionStage1*O21)*(1-'Life Table - Male'!B66)</f>
        <v>111.34895403721114</v>
      </c>
      <c r="G22" s="19">
        <f t="shared" si="3"/>
        <v>67734.136093381123</v>
      </c>
      <c r="H22" s="20">
        <f t="shared" si="4"/>
        <v>37.253774851359609</v>
      </c>
      <c r="I22" s="27">
        <f>SUM(pHealthyStage2*C21,pStage1Stage2*F21,(1-SUM(pStage2Remission, pStage2Stage1, pStage2Stage3))*I21,pStage3Stage2*L21,pRemissionStage2*O21)*(1-'Life Table - Male'!B66)</f>
        <v>72.828225245585699</v>
      </c>
      <c r="J22" s="19">
        <f t="shared" si="5"/>
        <v>199358.01223233118</v>
      </c>
      <c r="K22" s="20">
        <f t="shared" si="6"/>
        <v>19.658915095132659</v>
      </c>
      <c r="L22" s="27">
        <f>SUM(pHealthyStage3*C21,pStage2Stage3*I21,(1-SUM(pStage3Death, pStage3Stage2))*L21)*(1-'Life Table - Male'!B66)</f>
        <v>25.974786972013455</v>
      </c>
      <c r="M22" s="19">
        <f t="shared" si="7"/>
        <v>229108.63132112822</v>
      </c>
      <c r="N22" s="20">
        <f t="shared" si="8"/>
        <v>3.555133934293369</v>
      </c>
      <c r="O22" s="27">
        <f>SUM(pStage1Remission*F21,pStage2Remission*I21,(1-SUM(pRemissionStage1, pRemissionStage2))*O21)*(1-'Life Table - Male'!B66)</f>
        <v>259.7235760523385</v>
      </c>
      <c r="P22" s="19">
        <f t="shared" si="9"/>
        <v>49372.242085424317</v>
      </c>
      <c r="Q22" s="23">
        <f t="shared" si="10"/>
        <v>93.80725996230619</v>
      </c>
      <c r="R22" s="27">
        <f>SUM(pStage3Death*L21*(1-'Life Table - Male'!B66),R21)</f>
        <v>218.27307051116395</v>
      </c>
      <c r="S22" s="19">
        <f t="shared" si="11"/>
        <v>0</v>
      </c>
      <c r="T22" s="23">
        <f t="shared" si="12"/>
        <v>0</v>
      </c>
      <c r="U22" s="237">
        <f>SUM(B21*'Life Table - Male'!B66,U21)</f>
        <v>139.33401576173318</v>
      </c>
      <c r="V22" s="49">
        <f t="shared" si="14"/>
        <v>0</v>
      </c>
      <c r="W22" s="54">
        <v>0.66666666666666663</v>
      </c>
      <c r="X22" s="13">
        <f t="shared" si="15"/>
        <v>545573.0217322649</v>
      </c>
      <c r="Y22" s="25">
        <f t="shared" si="15"/>
        <v>219.86458137850713</v>
      </c>
    </row>
    <row r="23" spans="1:25" x14ac:dyDescent="0.2">
      <c r="A23" s="10">
        <v>20</v>
      </c>
      <c r="B23" s="15">
        <f t="shared" si="13"/>
        <v>619.72056270765893</v>
      </c>
      <c r="C23" s="27">
        <f>(1-SUM(pHealthyStage1,pHealthyStage2,pHealthyStage3))*C22*(1-'Life Table - Male'!B67)</f>
        <v>155.95194736396783</v>
      </c>
      <c r="D23" s="19">
        <f t="shared" si="2"/>
        <v>0</v>
      </c>
      <c r="E23" s="20">
        <f t="shared" si="1"/>
        <v>115.12908276476334</v>
      </c>
      <c r="F23" s="27">
        <f>SUM(pHealthyStage1*C22,(1-SUM(pStage1Remission,pStage1Stage2))*F22,pStage2Stage1*I22,pRemissionStage1*O22)*(1-'Life Table - Male'!B67)</f>
        <v>108.69007507588263</v>
      </c>
      <c r="G23" s="19">
        <f t="shared" si="3"/>
        <v>128381.99315244518</v>
      </c>
      <c r="H23" s="20">
        <f t="shared" si="4"/>
        <v>70.610096233844857</v>
      </c>
      <c r="I23" s="27">
        <f>SUM(pHealthyStage2*C22,pStage1Stage2*F22,(1-SUM(pStage2Remission, pStage2Stage1, pStage2Stage3))*I22,pStage3Stage2*L22,pRemissionStage2*O22)*(1-'Life Table - Male'!B67)</f>
        <v>71.303342199444586</v>
      </c>
      <c r="J23" s="19">
        <f t="shared" si="5"/>
        <v>378997.74497552455</v>
      </c>
      <c r="K23" s="20">
        <f t="shared" si="6"/>
        <v>37.373388740642</v>
      </c>
      <c r="L23" s="27">
        <f>SUM(pHealthyStage3*C22,pStage2Stage3*I22,(1-SUM(pStage3Death, pStage3Stage2))*L22)*(1-'Life Table - Male'!B67)</f>
        <v>25.190336821335119</v>
      </c>
      <c r="M23" s="19">
        <f t="shared" si="7"/>
        <v>431435.82228805887</v>
      </c>
      <c r="N23" s="20">
        <f t="shared" si="8"/>
        <v>6.6946937941250528</v>
      </c>
      <c r="O23" s="27">
        <f>SUM(pStage1Remission*F22,pStage2Remission*I22,(1-SUM(pRemissionStage1, pRemissionStage2))*O22)*(1-'Life Table - Male'!B67)</f>
        <v>258.58486124702887</v>
      </c>
      <c r="P23" s="19">
        <f t="shared" si="9"/>
        <v>95448.112048078314</v>
      </c>
      <c r="Q23" s="23">
        <f t="shared" si="10"/>
        <v>181.35141289134879</v>
      </c>
      <c r="R23" s="27">
        <f>SUM(pStage3Death*L22*(1-'Life Table - Male'!B67),R22)</f>
        <v>229.75816706662539</v>
      </c>
      <c r="S23" s="19">
        <f t="shared" si="11"/>
        <v>0</v>
      </c>
      <c r="T23" s="23">
        <f t="shared" si="12"/>
        <v>0</v>
      </c>
      <c r="U23" s="237">
        <f>SUM(B22*'Life Table - Male'!B67,U22)</f>
        <v>150.52127022571599</v>
      </c>
      <c r="V23" s="49">
        <f t="shared" si="14"/>
        <v>0</v>
      </c>
      <c r="W23" s="54">
        <v>1.3333333333333333</v>
      </c>
      <c r="X23" s="13">
        <f t="shared" si="15"/>
        <v>1034263.6724641069</v>
      </c>
      <c r="Y23" s="25">
        <f t="shared" si="15"/>
        <v>411.15867442472404</v>
      </c>
    </row>
    <row r="24" spans="1:25" x14ac:dyDescent="0.2">
      <c r="A24" s="10">
        <v>21</v>
      </c>
      <c r="B24" s="15">
        <f t="shared" si="13"/>
        <v>597.21048797246215</v>
      </c>
      <c r="C24" s="27">
        <f>(1-SUM(pHealthyStage1,pHealthyStage2,pHealthyStage3))*C23*(1-'Life Table - Male'!B68)</f>
        <v>140.84052041719275</v>
      </c>
      <c r="D24" s="19">
        <f t="shared" si="2"/>
        <v>0</v>
      </c>
      <c r="E24" s="20">
        <f t="shared" si="1"/>
        <v>50.47247984594506</v>
      </c>
      <c r="F24" s="27">
        <f>SUM(pHealthyStage1*C23,(1-SUM(pStage1Remission,pStage1Stage2))*F23,pStage2Stage1*I23,pRemissionStage1*O23)*(1-'Life Table - Male'!B68)</f>
        <v>105.8885162322164</v>
      </c>
      <c r="G24" s="19">
        <f t="shared" si="3"/>
        <v>60714.981576227205</v>
      </c>
      <c r="H24" s="20">
        <f t="shared" si="4"/>
        <v>33.393239866924965</v>
      </c>
      <c r="I24" s="27">
        <f>SUM(pHealthyStage2*C23,pStage1Stage2*F23,(1-SUM(pStage2Remission, pStage2Stage1, pStage2Stage3))*I23,pStage3Stage2*L23,pRemissionStage2*O23)*(1-'Life Table - Male'!B68)</f>
        <v>69.655485815491545</v>
      </c>
      <c r="J24" s="19">
        <f t="shared" si="5"/>
        <v>179727.62862341519</v>
      </c>
      <c r="K24" s="20">
        <f t="shared" si="6"/>
        <v>17.723141155920104</v>
      </c>
      <c r="L24" s="27">
        <f>SUM(pHealthyStage3*C23,pStage2Stage3*I23,(1-SUM(pStage3Death, pStage3Stage2))*L23)*(1-'Life Table - Male'!B68)</f>
        <v>24.393756904774595</v>
      </c>
      <c r="M24" s="19">
        <f t="shared" si="7"/>
        <v>202812.02371468558</v>
      </c>
      <c r="N24" s="20">
        <f t="shared" si="8"/>
        <v>3.1470831266071904</v>
      </c>
      <c r="O24" s="27">
        <f>SUM(pStage1Remission*F23,pStage2Remission*I23,(1-SUM(pRemissionStage1, pRemissionStage2))*O23)*(1-'Life Table - Male'!B68)</f>
        <v>256.43220860278689</v>
      </c>
      <c r="P24" s="19">
        <f t="shared" si="9"/>
        <v>45948.316018063306</v>
      </c>
      <c r="Q24" s="23">
        <f t="shared" si="10"/>
        <v>87.301800434320285</v>
      </c>
      <c r="R24" s="27">
        <f>SUM(pStage3Death*L23*(1-'Life Table - Male'!B68),R23)</f>
        <v>240.88561267125655</v>
      </c>
      <c r="S24" s="19">
        <f t="shared" si="11"/>
        <v>0</v>
      </c>
      <c r="T24" s="23">
        <f t="shared" si="12"/>
        <v>0</v>
      </c>
      <c r="U24" s="237">
        <f>SUM(B23*'Life Table - Male'!B68,U23)</f>
        <v>161.9038993562817</v>
      </c>
      <c r="V24" s="49">
        <f t="shared" si="14"/>
        <v>0</v>
      </c>
      <c r="W24" s="54">
        <v>0.66666666666666663</v>
      </c>
      <c r="X24" s="13">
        <f t="shared" si="15"/>
        <v>489202.94993239123</v>
      </c>
      <c r="Y24" s="25">
        <f t="shared" si="15"/>
        <v>192.03774442971761</v>
      </c>
    </row>
    <row r="25" spans="1:25" x14ac:dyDescent="0.2">
      <c r="A25" s="10">
        <v>22</v>
      </c>
      <c r="B25" s="15">
        <f t="shared" si="13"/>
        <v>574.70785515215221</v>
      </c>
      <c r="C25" s="27">
        <f>(1-SUM(pHealthyStage1,pHealthyStage2,pHealthyStage3))*C24*(1-'Life Table - Male'!B69)</f>
        <v>127.02584699564626</v>
      </c>
      <c r="D25" s="19">
        <f t="shared" si="2"/>
        <v>0</v>
      </c>
      <c r="E25" s="20">
        <f t="shared" si="1"/>
        <v>88.391782620381989</v>
      </c>
      <c r="F25" s="27">
        <f>SUM(pHealthyStage1*C24,(1-SUM(pStage1Remission,pStage1Stage2))*F24,pStage2Stage1*I24,pRemissionStage1*O24)*(1-'Life Table - Male'!B69)</f>
        <v>102.93132695786656</v>
      </c>
      <c r="G25" s="19">
        <f t="shared" si="3"/>
        <v>114600.72030976869</v>
      </c>
      <c r="H25" s="20">
        <f t="shared" si="4"/>
        <v>63.030396170372782</v>
      </c>
      <c r="I25" s="27">
        <f>SUM(pHealthyStage2*C24,pStage1Stage2*F24,(1-SUM(pStage2Remission, pStage2Stage1, pStage2Stage3))*I24,pStage3Stage2*L24,pRemissionStage2*O24)*(1-'Life Table - Male'!B69)</f>
        <v>67.878977156110025</v>
      </c>
      <c r="J25" s="19">
        <f t="shared" si="5"/>
        <v>340085.07979539986</v>
      </c>
      <c r="K25" s="20">
        <f t="shared" si="6"/>
        <v>33.536167590935264</v>
      </c>
      <c r="L25" s="27">
        <f>SUM(pHealthyStage3*C24,pStage2Stage3*I24,(1-SUM(pStage3Death, pStage3Stage2))*L24)*(1-'Life Table - Male'!B69)</f>
        <v>23.580708702518095</v>
      </c>
      <c r="M25" s="19">
        <f t="shared" si="7"/>
        <v>380684.00648841233</v>
      </c>
      <c r="N25" s="20">
        <f t="shared" si="8"/>
        <v>5.9071656179236403</v>
      </c>
      <c r="O25" s="27">
        <f>SUM(pStage1Remission*F24,pStage2Remission*I24,(1-SUM(pRemissionStage1, pRemissionStage2))*O24)*(1-'Life Table - Male'!B69)</f>
        <v>253.29099534001125</v>
      </c>
      <c r="P25" s="19">
        <f t="shared" si="9"/>
        <v>88127.114006025193</v>
      </c>
      <c r="Q25" s="23">
        <f t="shared" si="10"/>
        <v>167.44151661144784</v>
      </c>
      <c r="R25" s="27">
        <f>SUM(pStage3Death*L24*(1-'Life Table - Male'!B69),R24)</f>
        <v>251.64698992120731</v>
      </c>
      <c r="S25" s="19">
        <f t="shared" si="11"/>
        <v>0</v>
      </c>
      <c r="T25" s="23">
        <f t="shared" si="12"/>
        <v>0</v>
      </c>
      <c r="U25" s="237">
        <f>SUM(B24*'Life Table - Male'!B69,U24)</f>
        <v>173.64515492664094</v>
      </c>
      <c r="V25" s="49">
        <f t="shared" si="14"/>
        <v>0</v>
      </c>
      <c r="W25" s="54">
        <v>1.3333333333333333</v>
      </c>
      <c r="X25" s="13">
        <f t="shared" si="15"/>
        <v>923496.92059960612</v>
      </c>
      <c r="Y25" s="25">
        <f t="shared" si="15"/>
        <v>358.30702861106153</v>
      </c>
    </row>
    <row r="26" spans="1:25" x14ac:dyDescent="0.2">
      <c r="A26" s="10">
        <v>23</v>
      </c>
      <c r="B26" s="15">
        <f t="shared" si="13"/>
        <v>552.2523833130515</v>
      </c>
      <c r="C26" s="27">
        <f>(1-SUM(pHealthyStage1,pHealthyStage2,pHealthyStage3))*C25*(1-'Life Table - Male'!B70)</f>
        <v>114.41002817830697</v>
      </c>
      <c r="D26" s="19">
        <f t="shared" si="2"/>
        <v>0</v>
      </c>
      <c r="E26" s="20">
        <f t="shared" si="1"/>
        <v>38.647078143704661</v>
      </c>
      <c r="F26" s="27">
        <f>SUM(pHealthyStage1*C25,(1-SUM(pStage1Remission,pStage1Stage2))*F25,pStage2Stage1*I25,pRemissionStage1*O25)*(1-'Life Table - Male'!B70)</f>
        <v>99.838468346222328</v>
      </c>
      <c r="G26" s="19">
        <f t="shared" si="3"/>
        <v>53959.816626016123</v>
      </c>
      <c r="H26" s="20">
        <f t="shared" si="4"/>
        <v>29.677899144308867</v>
      </c>
      <c r="I26" s="27">
        <f>SUM(pHealthyStage2*C25,pStage1Stage2*F25,(1-SUM(pStage2Remission, pStage2Stage1, pStage2Stage3))*I25,pStage3Stage2*L25,pRemissionStage2*O25)*(1-'Life Table - Male'!B70)</f>
        <v>65.989348054789374</v>
      </c>
      <c r="J26" s="19">
        <f t="shared" si="5"/>
        <v>160494.03908936109</v>
      </c>
      <c r="K26" s="20">
        <f t="shared" si="6"/>
        <v>15.826495521311996</v>
      </c>
      <c r="L26" s="27">
        <f>SUM(pHealthyStage3*C25,pStage2Stage3*I25,(1-SUM(pStage3Death, pStage3Stage2))*L25)*(1-'Life Table - Male'!B70)</f>
        <v>22.754444975659045</v>
      </c>
      <c r="M26" s="19">
        <f t="shared" si="7"/>
        <v>178322.77107661596</v>
      </c>
      <c r="N26" s="20">
        <f t="shared" si="8"/>
        <v>2.767077482223351</v>
      </c>
      <c r="O26" s="27">
        <f>SUM(pStage1Remission*F25,pStage2Remission*I25,(1-SUM(pRemissionStage1, pRemissionStage2))*O25)*(1-'Life Table - Male'!B70)</f>
        <v>249.26009375807379</v>
      </c>
      <c r="P26" s="19">
        <f t="shared" si="9"/>
        <v>42099.344240009334</v>
      </c>
      <c r="Q26" s="23">
        <f t="shared" si="10"/>
        <v>79.98875405601774</v>
      </c>
      <c r="R26" s="27">
        <f>SUM(pStage3Death*L25*(1-'Life Table - Male'!B70),R25)</f>
        <v>262.03550639860242</v>
      </c>
      <c r="S26" s="19">
        <f t="shared" si="11"/>
        <v>0</v>
      </c>
      <c r="T26" s="23">
        <f t="shared" si="12"/>
        <v>0</v>
      </c>
      <c r="U26" s="237">
        <f>SUM(B25*'Life Table - Male'!B70,U25)</f>
        <v>185.71211028834651</v>
      </c>
      <c r="V26" s="49">
        <f t="shared" si="14"/>
        <v>0</v>
      </c>
      <c r="W26" s="54">
        <v>0.66666666666666663</v>
      </c>
      <c r="X26" s="13">
        <f t="shared" si="15"/>
        <v>434875.97103200248</v>
      </c>
      <c r="Y26" s="25">
        <f t="shared" si="15"/>
        <v>166.90730434756662</v>
      </c>
    </row>
    <row r="27" spans="1:25" x14ac:dyDescent="0.2">
      <c r="A27" s="10">
        <v>24</v>
      </c>
      <c r="B27" s="15">
        <f t="shared" si="13"/>
        <v>529.84009231985544</v>
      </c>
      <c r="C27" s="27">
        <f>(1-SUM(pHealthyStage1,pHealthyStage2,pHealthyStage3))*C26*(1-'Life Table - Male'!B71)</f>
        <v>102.89330759931752</v>
      </c>
      <c r="D27" s="19">
        <f t="shared" si="2"/>
        <v>0</v>
      </c>
      <c r="E27" s="20">
        <f t="shared" si="1"/>
        <v>67.488919002216932</v>
      </c>
      <c r="F27" s="27">
        <f>SUM(pHealthyStage1*C26,(1-SUM(pStage1Remission,pStage1Stage2))*F26,pStage2Stage1*I26,pRemissionStage1*O26)*(1-'Life Table - Male'!B71)</f>
        <v>96.621163422134643</v>
      </c>
      <c r="G27" s="19">
        <f t="shared" si="3"/>
        <v>101399.91452100487</v>
      </c>
      <c r="H27" s="20">
        <f t="shared" si="4"/>
        <v>55.769952986552681</v>
      </c>
      <c r="I27" s="27">
        <f>SUM(pHealthyStage2*C26,pStage1Stage2*F26,(1-SUM(pStage2Remission, pStage2Stage1, pStage2Stage3))*I26,pStage3Stage2*L26,pRemissionStage2*O26)*(1-'Life Table - Male'!B71)</f>
        <v>63.996107075393887</v>
      </c>
      <c r="J27" s="19">
        <f t="shared" si="5"/>
        <v>302225.70302190556</v>
      </c>
      <c r="K27" s="20">
        <f t="shared" si="6"/>
        <v>29.802812381326799</v>
      </c>
      <c r="L27" s="27">
        <f>SUM(pHealthyStage3*C26,pStage2Stage3*I26,(1-SUM(pStage3Death, pStage3Stage2))*L26)*(1-'Life Table - Male'!B71)</f>
        <v>21.916211815241734</v>
      </c>
      <c r="M27" s="19">
        <f t="shared" si="7"/>
        <v>333502.28797410039</v>
      </c>
      <c r="N27" s="20">
        <f t="shared" si="8"/>
        <v>5.1750355030463853</v>
      </c>
      <c r="O27" s="27">
        <f>SUM(pStage1Remission*F26,pStage2Remission*I26,(1-SUM(pRemissionStage1, pRemissionStage2))*O26)*(1-'Life Table - Male'!B71)</f>
        <v>244.41330240776767</v>
      </c>
      <c r="P27" s="19">
        <f t="shared" si="9"/>
        <v>80156.766043021053</v>
      </c>
      <c r="Q27" s="23">
        <f t="shared" si="10"/>
        <v>152.29785548173999</v>
      </c>
      <c r="R27" s="27">
        <f>SUM(pStage3Death*L26*(1-'Life Table - Male'!B71),R26)</f>
        <v>272.04504292695253</v>
      </c>
      <c r="S27" s="19">
        <f t="shared" si="11"/>
        <v>0</v>
      </c>
      <c r="T27" s="23">
        <f t="shared" si="12"/>
        <v>0</v>
      </c>
      <c r="U27" s="237">
        <f>SUM(B26*'Life Table - Male'!B71,U26)</f>
        <v>198.11486475319245</v>
      </c>
      <c r="V27" s="49">
        <f t="shared" si="14"/>
        <v>0</v>
      </c>
      <c r="W27" s="54">
        <v>1.3333333333333333</v>
      </c>
      <c r="X27" s="13">
        <f t="shared" si="15"/>
        <v>817284.67156003183</v>
      </c>
      <c r="Y27" s="25">
        <f t="shared" si="15"/>
        <v>310.5345753548828</v>
      </c>
    </row>
    <row r="28" spans="1:25" x14ac:dyDescent="0.2">
      <c r="A28" s="10">
        <v>25</v>
      </c>
      <c r="B28" s="15">
        <f t="shared" si="13"/>
        <v>507.5029018722953</v>
      </c>
      <c r="C28" s="27">
        <f>(1-SUM(pHealthyStage1,pHealthyStage2,pHealthyStage3))*C27*(1-'Life Table - Male'!B72)</f>
        <v>92.390791090689746</v>
      </c>
      <c r="D28" s="19">
        <f t="shared" si="2"/>
        <v>0</v>
      </c>
      <c r="E28" s="20">
        <f t="shared" si="1"/>
        <v>29.417570915602635</v>
      </c>
      <c r="F28" s="27">
        <f>SUM(pHealthyStage1*C27,(1-SUM(pStage1Remission,pStage1Stage2))*F27,pStage2Stage1*I27,pRemissionStage1*O27)*(1-'Life Table - Male'!B72)</f>
        <v>93.296248314329176</v>
      </c>
      <c r="G28" s="19">
        <f t="shared" si="3"/>
        <v>47529.394971885158</v>
      </c>
      <c r="H28" s="20">
        <f t="shared" si="4"/>
        <v>26.141167234536841</v>
      </c>
      <c r="I28" s="27">
        <f>SUM(pHealthyStage2*C27,pStage1Stage2*F27,(1-SUM(pStage2Remission, pStage2Stage1, pStage2Stage3))*I27,pStage3Stage2*L27,pRemissionStage2*O27)*(1-'Life Table - Male'!B72)</f>
        <v>61.912261267589635</v>
      </c>
      <c r="J28" s="19">
        <f t="shared" si="5"/>
        <v>141934.27577752201</v>
      </c>
      <c r="K28" s="20">
        <f t="shared" si="6"/>
        <v>13.996296639172309</v>
      </c>
      <c r="L28" s="27">
        <f>SUM(pHealthyStage3*C27,pStage2Stage3*I27,(1-SUM(pStage3Death, pStage3Stage2))*L27)*(1-'Life Table - Male'!B72)</f>
        <v>21.068569926594765</v>
      </c>
      <c r="M28" s="19">
        <f t="shared" si="7"/>
        <v>155632.8126220218</v>
      </c>
      <c r="N28" s="20">
        <f t="shared" si="8"/>
        <v>2.4149919199968899</v>
      </c>
      <c r="O28" s="27">
        <f>SUM(pStage1Remission*F27,pStage2Remission*I27,(1-SUM(pRemissionStage1, pRemissionStage2))*O27)*(1-'Life Table - Male'!B72)</f>
        <v>238.83503127309191</v>
      </c>
      <c r="P28" s="19">
        <f t="shared" si="9"/>
        <v>38022.980356937114</v>
      </c>
      <c r="Q28" s="23">
        <f t="shared" si="10"/>
        <v>72.243662678180513</v>
      </c>
      <c r="R28" s="27">
        <f>SUM(pStage3Death*L27*(1-'Life Table - Male'!B72),R27)</f>
        <v>281.67072987219444</v>
      </c>
      <c r="S28" s="19">
        <f t="shared" si="11"/>
        <v>0</v>
      </c>
      <c r="T28" s="23">
        <f t="shared" si="12"/>
        <v>0</v>
      </c>
      <c r="U28" s="237">
        <f>SUM(B27*'Life Table - Male'!B72,U27)</f>
        <v>210.82636825551074</v>
      </c>
      <c r="V28" s="49">
        <f t="shared" si="14"/>
        <v>0</v>
      </c>
      <c r="W28" s="54">
        <v>0.66666666666666663</v>
      </c>
      <c r="X28" s="13">
        <f t="shared" si="15"/>
        <v>383119.46372836607</v>
      </c>
      <c r="Y28" s="25">
        <f t="shared" si="15"/>
        <v>144.21368938748918</v>
      </c>
    </row>
    <row r="29" spans="1:25" x14ac:dyDescent="0.2">
      <c r="A29" s="10">
        <v>26</v>
      </c>
      <c r="B29" s="15">
        <f t="shared" si="13"/>
        <v>485.36912686878185</v>
      </c>
      <c r="C29" s="27">
        <f>(1-SUM(pHealthyStage1,pHealthyStage2,pHealthyStage3))*C28*(1-'Life Table - Male'!B73)</f>
        <v>82.84000070847155</v>
      </c>
      <c r="D29" s="19">
        <f t="shared" si="2"/>
        <v>0</v>
      </c>
      <c r="E29" s="20">
        <f t="shared" si="1"/>
        <v>51.216628732693636</v>
      </c>
      <c r="F29" s="27">
        <f>SUM(pHealthyStage1*C28,(1-SUM(pStage1Remission,pStage1Stage2))*F28,pStage2Stage1*I28,pRemissionStage1*O28)*(1-'Life Table - Male'!B73)</f>
        <v>89.897705216536195</v>
      </c>
      <c r="G29" s="19">
        <f t="shared" si="3"/>
        <v>88928.196091154707</v>
      </c>
      <c r="H29" s="20">
        <f t="shared" si="4"/>
        <v>48.91050785013509</v>
      </c>
      <c r="I29" s="27">
        <f>SUM(pHealthyStage2*C28,pStage1Stage2*F28,(1-SUM(pStage2Remission, pStage2Stage1, pStage2Stage3))*I28,pStage3Stage2*L28,pRemissionStage2*O28)*(1-'Life Table - Male'!B73)</f>
        <v>59.76206113896243</v>
      </c>
      <c r="J29" s="19">
        <f t="shared" si="5"/>
        <v>266028.98544954648</v>
      </c>
      <c r="K29" s="20">
        <f t="shared" si="6"/>
        <v>26.233413842941381</v>
      </c>
      <c r="L29" s="27">
        <f>SUM(pHealthyStage3*C28,pStage2Stage3*I28,(1-SUM(pStage3Death, pStage3Stage2))*L28)*(1-'Life Table - Male'!B73)</f>
        <v>20.217976679606636</v>
      </c>
      <c r="M29" s="19">
        <f t="shared" si="7"/>
        <v>289999.04681433481</v>
      </c>
      <c r="N29" s="20">
        <f t="shared" si="8"/>
        <v>4.4999852091879537</v>
      </c>
      <c r="O29" s="27">
        <f>SUM(pStage1Remission*F28,pStage2Remission*I28,(1-SUM(pRemissionStage1, pRemissionStage2))*O28)*(1-'Life Table - Male'!B73)</f>
        <v>232.65138312520506</v>
      </c>
      <c r="P29" s="19">
        <f t="shared" si="9"/>
        <v>71919.47979095536</v>
      </c>
      <c r="Q29" s="23">
        <f t="shared" si="10"/>
        <v>136.64701160281516</v>
      </c>
      <c r="R29" s="27">
        <f>SUM(pStage3Death*L28*(1-'Life Table - Male'!B73),R28)</f>
        <v>290.91071245488337</v>
      </c>
      <c r="S29" s="19">
        <f t="shared" si="11"/>
        <v>0</v>
      </c>
      <c r="T29" s="23">
        <f t="shared" si="12"/>
        <v>0</v>
      </c>
      <c r="U29" s="237">
        <f>SUM(B28*'Life Table - Male'!B73,U28)</f>
        <v>223.72016067633524</v>
      </c>
      <c r="V29" s="49">
        <f t="shared" si="14"/>
        <v>0</v>
      </c>
      <c r="W29" s="54">
        <v>1.3333333333333333</v>
      </c>
      <c r="X29" s="13">
        <f t="shared" si="15"/>
        <v>716875.70814599132</v>
      </c>
      <c r="Y29" s="25">
        <f t="shared" si="15"/>
        <v>267.50754723777322</v>
      </c>
    </row>
    <row r="30" spans="1:25" x14ac:dyDescent="0.2">
      <c r="A30" s="10">
        <v>27</v>
      </c>
      <c r="B30" s="15">
        <f t="shared" si="13"/>
        <v>463.33515086950865</v>
      </c>
      <c r="C30" s="27">
        <f>(1-SUM(pHealthyStage1,pHealthyStage2,pHealthyStage3))*C29*(1-'Life Table - Male'!B74)</f>
        <v>74.142802559870745</v>
      </c>
      <c r="D30" s="19">
        <f t="shared" si="2"/>
        <v>0</v>
      </c>
      <c r="E30" s="20">
        <f t="shared" si="1"/>
        <v>22.252185517492631</v>
      </c>
      <c r="F30" s="27">
        <f>SUM(pHealthyStage1*C29,(1-SUM(pStage1Remission,pStage1Stage2))*F29,pStage2Stage1*I29,pRemissionStage1*O29)*(1-'Life Table - Male'!B74)</f>
        <v>86.416092853337943</v>
      </c>
      <c r="G30" s="19">
        <f t="shared" si="3"/>
        <v>41497.151194230712</v>
      </c>
      <c r="H30" s="20">
        <f t="shared" si="4"/>
        <v>22.823433156826898</v>
      </c>
      <c r="I30" s="27">
        <f>SUM(pHealthyStage2*C29,pStage1Stage2*F29,(1-SUM(pStage2Remission, pStage2Stage1, pStage2Stage3))*I29,pStage3Stage2*L29,pRemissionStage2*O29)*(1-'Life Table - Male'!B74)</f>
        <v>57.540789871297171</v>
      </c>
      <c r="J30" s="19">
        <f t="shared" si="5"/>
        <v>124340.32252878012</v>
      </c>
      <c r="K30" s="20">
        <f t="shared" si="6"/>
        <v>12.261337360476929</v>
      </c>
      <c r="L30" s="27">
        <f>SUM(pHealthyStage3*C29,pStage2Stage3*I29,(1-SUM(pStage3Death, pStage3Stage2))*L29)*(1-'Life Table - Male'!B74)</f>
        <v>19.361152156121065</v>
      </c>
      <c r="M30" s="19">
        <f t="shared" si="7"/>
        <v>134810.23222571451</v>
      </c>
      <c r="N30" s="20">
        <f t="shared" si="8"/>
        <v>2.0918829138472943</v>
      </c>
      <c r="O30" s="27">
        <f>SUM(pStage1Remission*F29,pStage2Remission*I29,(1-SUM(pRemissionStage1, pRemissionStage2))*O29)*(1-'Life Table - Male'!B74)</f>
        <v>225.87431342888178</v>
      </c>
      <c r="P30" s="19">
        <f t="shared" si="9"/>
        <v>33895.38129474585</v>
      </c>
      <c r="Q30" s="23">
        <f t="shared" si="10"/>
        <v>64.401224460017104</v>
      </c>
      <c r="R30" s="27">
        <f>SUM(pStage3Death*L29*(1-'Life Table - Male'!B74),R29)</f>
        <v>299.76169087495521</v>
      </c>
      <c r="S30" s="19">
        <f t="shared" si="11"/>
        <v>0</v>
      </c>
      <c r="T30" s="23">
        <f t="shared" si="12"/>
        <v>0</v>
      </c>
      <c r="U30" s="237">
        <f>SUM(B29*'Life Table - Male'!B74,U29)</f>
        <v>236.90315825553657</v>
      </c>
      <c r="V30" s="49">
        <f t="shared" si="14"/>
        <v>0</v>
      </c>
      <c r="W30" s="54">
        <v>0.66666666666666663</v>
      </c>
      <c r="X30" s="13">
        <f t="shared" si="15"/>
        <v>334543.08724347118</v>
      </c>
      <c r="Y30" s="25">
        <f t="shared" si="15"/>
        <v>123.83006340866086</v>
      </c>
    </row>
    <row r="31" spans="1:25" x14ac:dyDescent="0.2">
      <c r="A31" s="10">
        <v>28</v>
      </c>
      <c r="B31" s="15">
        <f t="shared" si="13"/>
        <v>441.32138498380266</v>
      </c>
      <c r="C31" s="27">
        <f>(1-SUM(pHealthyStage1,pHealthyStage2,pHealthyStage3))*C30*(1-'Life Table - Male'!B75)</f>
        <v>66.215665085678538</v>
      </c>
      <c r="D31" s="19">
        <f t="shared" si="2"/>
        <v>0</v>
      </c>
      <c r="E31" s="20">
        <f t="shared" si="1"/>
        <v>38.588437206224917</v>
      </c>
      <c r="F31" s="27">
        <f>SUM(pHealthyStage1*C30,(1-SUM(pStage1Remission,pStage1Stage2))*F30,pStage2Stage1*I30,pRemissionStage1*O30)*(1-'Life Table - Male'!B75)</f>
        <v>82.845152061990987</v>
      </c>
      <c r="G31" s="19">
        <f t="shared" si="3"/>
        <v>77247.338835552451</v>
      </c>
      <c r="H31" s="20">
        <f t="shared" si="4"/>
        <v>42.486036359553843</v>
      </c>
      <c r="I31" s="27">
        <f>SUM(pHealthyStage2*C30,pStage1Stage2*F30,(1-SUM(pStage2Remission, pStage2Stage1, pStage2Stage3))*I30,pStage3Stage2*L30,pRemissionStage2*O30)*(1-'Life Table - Male'!B75)</f>
        <v>55.245631625033482</v>
      </c>
      <c r="J31" s="19">
        <f t="shared" si="5"/>
        <v>231807.18045618257</v>
      </c>
      <c r="K31" s="20">
        <f t="shared" si="6"/>
        <v>22.858763628318002</v>
      </c>
      <c r="L31" s="27">
        <f>SUM(pHealthyStage3*C30,pStage2Stage3*I30,(1-SUM(pStage3Death, pStage3Stage2))*L30)*(1-'Life Table - Male'!B75)</f>
        <v>18.495670580273092</v>
      </c>
      <c r="M31" s="19">
        <f t="shared" si="7"/>
        <v>250065.9218166722</v>
      </c>
      <c r="N31" s="20">
        <f t="shared" si="8"/>
        <v>3.8803332695690513</v>
      </c>
      <c r="O31" s="27">
        <f>SUM(pStage1Remission*F30,pStage2Remission*I30,(1-SUM(pRemissionStage1, pRemissionStage2))*O30)*(1-'Life Table - Male'!B75)</f>
        <v>218.51926563082657</v>
      </c>
      <c r="P31" s="19">
        <f t="shared" si="9"/>
        <v>63673.127418071628</v>
      </c>
      <c r="Q31" s="23">
        <f t="shared" si="10"/>
        <v>120.97894209433609</v>
      </c>
      <c r="R31" s="27">
        <f>SUM(pStage3Death*L30*(1-'Life Table - Male'!B75),R30)</f>
        <v>308.21930042619493</v>
      </c>
      <c r="S31" s="19">
        <f t="shared" si="11"/>
        <v>0</v>
      </c>
      <c r="T31" s="23">
        <f t="shared" si="12"/>
        <v>0</v>
      </c>
      <c r="U31" s="237">
        <f>SUM(B30*'Life Table - Male'!B75,U30)</f>
        <v>250.45931459000292</v>
      </c>
      <c r="V31" s="49">
        <f t="shared" si="14"/>
        <v>0</v>
      </c>
      <c r="W31" s="54">
        <v>1.3333333333333333</v>
      </c>
      <c r="X31" s="13">
        <f t="shared" si="15"/>
        <v>622793.56852647883</v>
      </c>
      <c r="Y31" s="25">
        <f t="shared" si="15"/>
        <v>228.7925125580019</v>
      </c>
    </row>
    <row r="32" spans="1:25" x14ac:dyDescent="0.2">
      <c r="A32" s="10">
        <v>29</v>
      </c>
      <c r="B32" s="15">
        <f t="shared" si="13"/>
        <v>419.42343432125881</v>
      </c>
      <c r="C32" s="27">
        <f>(1-SUM(pHealthyStage1,pHealthyStage2,pHealthyStage3))*C31*(1-'Life Table - Male'!B76)</f>
        <v>59.008563228056182</v>
      </c>
      <c r="D32" s="19">
        <f t="shared" si="2"/>
        <v>0</v>
      </c>
      <c r="E32" s="20">
        <f t="shared" si="1"/>
        <v>16.693379433637904</v>
      </c>
      <c r="F32" s="27">
        <f>SUM(pHealthyStage1*C31,(1-SUM(pStage1Remission,pStage1Stage2))*F31,pStage2Stage1*I31,pRemissionStage1*O31)*(1-'Life Table - Male'!B76)</f>
        <v>79.210638911908092</v>
      </c>
      <c r="G32" s="19">
        <f t="shared" si="3"/>
        <v>35853.596243025771</v>
      </c>
      <c r="H32" s="20">
        <f t="shared" si="4"/>
        <v>19.71947793366418</v>
      </c>
      <c r="I32" s="27">
        <f>SUM(pHealthyStage2*C31,pStage1Stage2*F31,(1-SUM(pStage2Remission, pStage2Stage1, pStage2Stage3))*I31,pStage3Stage2*L31,pRemissionStage2*O31)*(1-'Life Table - Male'!B76)</f>
        <v>52.89497568532208</v>
      </c>
      <c r="J32" s="19">
        <f t="shared" si="5"/>
        <v>107739.7944772156</v>
      </c>
      <c r="K32" s="20">
        <f t="shared" si="6"/>
        <v>10.624340844280983</v>
      </c>
      <c r="L32" s="27">
        <f>SUM(pHealthyStage3*C31,pStage2Stage3*I31,(1-SUM(pStage3Death, pStage3Stage2))*L31)*(1-'Life Table - Male'!B76)</f>
        <v>17.626348996071524</v>
      </c>
      <c r="M32" s="19">
        <f t="shared" si="7"/>
        <v>115685.67212639497</v>
      </c>
      <c r="N32" s="20">
        <f t="shared" si="8"/>
        <v>1.7951224985130252</v>
      </c>
      <c r="O32" s="27">
        <f>SUM(pStage1Remission*F31,pStage2Remission*I31,(1-SUM(pRemissionStage1, pRemissionStage2))*O31)*(1-'Life Table - Male'!B76)</f>
        <v>210.68290749990092</v>
      </c>
      <c r="P32" s="19">
        <f t="shared" si="9"/>
        <v>29800.841798887315</v>
      </c>
      <c r="Q32" s="23">
        <f t="shared" si="10"/>
        <v>56.621599417885896</v>
      </c>
      <c r="R32" s="27">
        <f>SUM(pStage3Death*L31*(1-'Life Table - Male'!B76),R31)</f>
        <v>316.28141680364644</v>
      </c>
      <c r="S32" s="19">
        <f t="shared" si="11"/>
        <v>0</v>
      </c>
      <c r="T32" s="23">
        <f t="shared" si="12"/>
        <v>0</v>
      </c>
      <c r="U32" s="237">
        <f>SUM(B31*'Life Table - Male'!B76,U31)</f>
        <v>264.29514887509526</v>
      </c>
      <c r="V32" s="49">
        <f t="shared" si="14"/>
        <v>0</v>
      </c>
      <c r="W32" s="54">
        <v>0.66666666666666663</v>
      </c>
      <c r="X32" s="13">
        <f t="shared" si="15"/>
        <v>289079.90464552364</v>
      </c>
      <c r="Y32" s="25">
        <f t="shared" si="15"/>
        <v>105.45392012798197</v>
      </c>
    </row>
    <row r="33" spans="1:25" ht="16" thickBot="1" x14ac:dyDescent="0.25">
      <c r="A33" s="11">
        <v>30</v>
      </c>
      <c r="B33" s="166">
        <f t="shared" si="13"/>
        <v>397.01523564182003</v>
      </c>
      <c r="C33" s="28">
        <f>(1-SUM(pHealthyStage1,pHealthyStage2,pHealthyStage3))*C32*(1-'Life Table - Male'!B77)</f>
        <v>52.378021652145783</v>
      </c>
      <c r="D33" s="21">
        <f t="shared" si="2"/>
        <v>0</v>
      </c>
      <c r="E33" s="22">
        <f t="shared" si="1"/>
        <v>7.1930171367738502</v>
      </c>
      <c r="F33" s="28">
        <f>SUM(pHealthyStage1*C32,(1-SUM(pStage1Remission,pStage1Stage2))*F32,pStage2Stage1*I32,pRemissionStage1*O32)*(1-'Life Table - Male'!B77)</f>
        <v>75.401039611198001</v>
      </c>
      <c r="G33" s="21">
        <f t="shared" si="3"/>
        <v>16567.589319225601</v>
      </c>
      <c r="H33" s="22">
        <f t="shared" si="4"/>
        <v>9.1121741255740805</v>
      </c>
      <c r="I33" s="28">
        <f>SUM(pHealthyStage2*C32,pStage1Stage2*F32,(1-SUM(pStage2Remission, pStage2Stage1, pStage2Stage3))*I32,pStage3Stage2*L32,pRemissionStage2*O32)*(1-'Life Table - Male'!B77)</f>
        <v>50.415390182242987</v>
      </c>
      <c r="J33" s="21">
        <f t="shared" si="5"/>
        <v>49849.135754189658</v>
      </c>
      <c r="K33" s="22">
        <f t="shared" si="6"/>
        <v>4.9156786646492572</v>
      </c>
      <c r="L33" s="28">
        <f>SUM(pHealthyStage3*C32,pStage2Stage3*I32,(1-SUM(pStage3Death, pStage3Stage2))*L32)*(1-'Life Table - Male'!B77)</f>
        <v>16.727570142385368</v>
      </c>
      <c r="M33" s="21">
        <f t="shared" si="7"/>
        <v>53294.556028948042</v>
      </c>
      <c r="N33" s="22">
        <f t="shared" si="8"/>
        <v>0.82698449010436614</v>
      </c>
      <c r="O33" s="28">
        <f>SUM(pStage1Remission*F32,pStage2Remission*I32,(1-SUM(pRemissionStage1, pRemissionStage2))*O32)*(1-'Life Table - Male'!B77)</f>
        <v>202.09321405384793</v>
      </c>
      <c r="P33" s="21">
        <f t="shared" si="9"/>
        <v>13876.621396366558</v>
      </c>
      <c r="Q33" s="24">
        <f t="shared" si="10"/>
        <v>26.365580653096458</v>
      </c>
      <c r="R33" s="28">
        <f>SUM(pStage3Death*L32*(1-'Life Table - Male'!B77),R32)</f>
        <v>323.93422981126656</v>
      </c>
      <c r="S33" s="21">
        <f t="shared" si="11"/>
        <v>0</v>
      </c>
      <c r="T33" s="24">
        <f t="shared" si="12"/>
        <v>0</v>
      </c>
      <c r="U33" s="177">
        <f>SUM(B32*'Life Table - Male'!B77,U32)</f>
        <v>279.05053454691392</v>
      </c>
      <c r="V33" s="49">
        <f t="shared" si="14"/>
        <v>0</v>
      </c>
      <c r="W33" s="54">
        <v>0.33333333333333331</v>
      </c>
      <c r="X33" s="13">
        <f t="shared" si="15"/>
        <v>133587.90249872988</v>
      </c>
      <c r="Y33" s="25">
        <f t="shared" si="15"/>
        <v>48.413435070198013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176" t="s">
        <v>80</v>
      </c>
      <c r="W34" s="53"/>
      <c r="X34" s="30">
        <f>SUM(X3:X33)</f>
        <v>25224653.159733046</v>
      </c>
      <c r="Y34" s="31">
        <f>SUM(Y3:Y33)</f>
        <v>13882.58282984602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X113"/>
  <sheetViews>
    <sheetView workbookViewId="0">
      <selection activeCell="F7" sqref="F7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20" width="9.33203125" style="1" bestFit="1" customWidth="1"/>
    <col min="21" max="21" width="6.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16384" width="8.83203125" style="1"/>
  </cols>
  <sheetData>
    <row r="1" spans="1:24" x14ac:dyDescent="0.2">
      <c r="C1" s="213" t="s">
        <v>7</v>
      </c>
      <c r="D1" s="214"/>
      <c r="E1" s="215"/>
      <c r="F1" s="216" t="s">
        <v>8</v>
      </c>
      <c r="G1" s="217"/>
      <c r="H1" s="218"/>
      <c r="I1" s="219" t="s">
        <v>9</v>
      </c>
      <c r="J1" s="220"/>
      <c r="K1" s="221"/>
      <c r="L1" s="222" t="s">
        <v>10</v>
      </c>
      <c r="M1" s="223"/>
      <c r="N1" s="224"/>
      <c r="O1" s="225" t="s">
        <v>11</v>
      </c>
      <c r="P1" s="226"/>
      <c r="Q1" s="227"/>
      <c r="R1" s="210" t="s">
        <v>12</v>
      </c>
      <c r="S1" s="211"/>
      <c r="T1" s="212"/>
    </row>
    <row r="2" spans="1:24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 t="shared" ref="B4:B33" si="2">SUM(C3,F3,I3,L3,O3)</f>
        <v>1000</v>
      </c>
      <c r="C4" s="27">
        <f>(1-SUM(pHealthyStage1,pHealthyStage2,pHealthyStage3))*C3</f>
        <v>920</v>
      </c>
      <c r="D4" s="19">
        <f t="shared" ref="D4:D33" si="3">C4*0*V4/(1+discount_rate)^A4</f>
        <v>0</v>
      </c>
      <c r="E4" s="20">
        <f t="shared" si="1"/>
        <v>595.46925566343032</v>
      </c>
      <c r="F4" s="27">
        <f>SUM(pHealthyStage1*C3,(1-SUM(pStage1Remission,pStage1Stage2))*F3,pStage2Stage1*I3,pRemissionStage1*O3)</f>
        <v>50</v>
      </c>
      <c r="G4" s="19">
        <f t="shared" ref="G4:G33" si="4">F4*SUM(nVisitsStage1*cVisit,cTreatmentStage1)*V4/(1+discount_rate)^A4</f>
        <v>51779.935275080898</v>
      </c>
      <c r="H4" s="20">
        <f t="shared" ref="H4:H33" si="5">F4*uStage1*V4/(1+discount_rate)^A4</f>
        <v>28.478964401294498</v>
      </c>
      <c r="I4" s="27">
        <f t="shared" ref="I4:I33" si="6">SUM(pHealthyStage2*C3,pStage1Stage2*F3,(1-SUM(pStage2Remission, pStage2Stage1, pStage2Stage3))*I3,pStage3Stage2*L3,pRemissionStage2*O3)</f>
        <v>20</v>
      </c>
      <c r="J4" s="19">
        <f t="shared" ref="J4:J33" si="7">I4*SUM(nVisitsStage2*cVisit,cTreatmentStage2)*V4/(1+discount_rate)^A4</f>
        <v>93203.883495145623</v>
      </c>
      <c r="K4" s="20">
        <f t="shared" ref="K4:K33" si="8">I4*uStage2*V4/(1+discount_rate)^A4</f>
        <v>9.1909385113268591</v>
      </c>
      <c r="L4" s="27">
        <f t="shared" ref="L4:L33" si="9">SUM(pHealthyStage3*C3,pStage2Stage3*I3,(1-SUM(pStage3Death, pStage3Stage2))*L3)</f>
        <v>10</v>
      </c>
      <c r="M4" s="19">
        <f t="shared" ref="M4:M33" si="10">L4*SUM(nVisitsStage3*cVisit,cTreatmentStage3)*V4/(1+discount_rate)^A4</f>
        <v>150161.81229773461</v>
      </c>
      <c r="N4" s="20">
        <f t="shared" ref="N4:N33" si="11">L4*uStage3*V4/(1+discount_rate)^A4</f>
        <v>2.3300970873786402</v>
      </c>
      <c r="O4" s="27">
        <f t="shared" ref="O4:O33" si="12">SUM(pStage1Remission*F3,pStage2Remission*I3,(1-SUM(pRemissionStage1, pRemissionStage2))*O3)</f>
        <v>0</v>
      </c>
      <c r="P4" s="19">
        <f t="shared" ref="P4:P33" si="13">O4*SUM(nVisitsRemission*cVisit,cTreatmentRemission)*V4/(1+discount_rate)^A4</f>
        <v>0</v>
      </c>
      <c r="Q4" s="23">
        <f t="shared" ref="Q4:Q33" si="14">O4*uRemission*V4/(1+discount_rate)^A4</f>
        <v>0</v>
      </c>
      <c r="R4" s="27">
        <f t="shared" ref="R4:R33" si="15">SUM(pStage3Death*L3,R3)</f>
        <v>0</v>
      </c>
      <c r="S4" s="19">
        <f t="shared" ref="S4:S33" si="16">R4*0*V4/(1+discount_rate)^A4</f>
        <v>0</v>
      </c>
      <c r="T4" s="23">
        <f t="shared" ref="T4:T33" si="17">R4*0*V4/(1+discount_rate)^A4</f>
        <v>0</v>
      </c>
      <c r="U4" s="49">
        <f t="shared" ref="U4:U33" si="18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 t="shared" si="2"/>
        <v>1000</v>
      </c>
      <c r="C5" s="27">
        <f t="shared" ref="C5:C33" si="19">(1-SUM(pHealthyStage1,pHealthyStage2,pHealthyStage3))*C4</f>
        <v>846.40000000000009</v>
      </c>
      <c r="D5" s="19">
        <f t="shared" si="3"/>
        <v>0</v>
      </c>
      <c r="E5" s="20">
        <f t="shared" si="1"/>
        <v>1063.7509033210797</v>
      </c>
      <c r="F5" s="27">
        <f t="shared" ref="F5:F33" si="20">SUM(pHealthyStage1*C4,(1-SUM(pStage1Remission,pStage1Stage2))*F4,pStage2Stage1*I4,pRemissionStage1*O4)</f>
        <v>79.5</v>
      </c>
      <c r="G5" s="19">
        <f t="shared" si="4"/>
        <v>159864.26618908474</v>
      </c>
      <c r="H5" s="20">
        <f t="shared" si="5"/>
        <v>87.925346403996599</v>
      </c>
      <c r="I5" s="27">
        <f t="shared" si="6"/>
        <v>35.900000000000006</v>
      </c>
      <c r="J5" s="19">
        <f t="shared" si="7"/>
        <v>324856.25412385713</v>
      </c>
      <c r="K5" s="20">
        <f t="shared" si="8"/>
        <v>32.034436170547025</v>
      </c>
      <c r="L5" s="27">
        <f t="shared" si="9"/>
        <v>17.200000000000003</v>
      </c>
      <c r="M5" s="19">
        <f t="shared" si="10"/>
        <v>501511.29544097785</v>
      </c>
      <c r="N5" s="20">
        <f t="shared" si="11"/>
        <v>7.7820718258082762</v>
      </c>
      <c r="O5" s="27">
        <f t="shared" si="12"/>
        <v>16.5</v>
      </c>
      <c r="P5" s="19">
        <f t="shared" si="13"/>
        <v>10368.555000471299</v>
      </c>
      <c r="Q5" s="23">
        <f t="shared" si="14"/>
        <v>19.700254500895465</v>
      </c>
      <c r="R5" s="27">
        <f t="shared" si="15"/>
        <v>4.5</v>
      </c>
      <c r="S5" s="19">
        <f t="shared" si="16"/>
        <v>0</v>
      </c>
      <c r="T5" s="23">
        <f t="shared" si="17"/>
        <v>0</v>
      </c>
      <c r="U5" s="49">
        <f>SUM(C5,F5,I5,L5,O5,R5-R4)-B5</f>
        <v>0</v>
      </c>
      <c r="V5" s="54">
        <v>1.3333333333333333</v>
      </c>
      <c r="W5" s="13">
        <f t="shared" ref="W5:W33" si="21">SUM(D5,G5,J5,M5,P5,S5)</f>
        <v>996600.37075439107</v>
      </c>
      <c r="X5" s="25">
        <f t="shared" ref="X5:X33" si="22">SUM(E5,H5,K5,N5,Q5,T5)</f>
        <v>1211.1930122223271</v>
      </c>
    </row>
    <row r="6" spans="1:24" x14ac:dyDescent="0.2">
      <c r="A6" s="10">
        <v>3</v>
      </c>
      <c r="B6" s="15">
        <f t="shared" si="2"/>
        <v>995.50000000000011</v>
      </c>
      <c r="C6" s="27">
        <f t="shared" si="19"/>
        <v>778.6880000000001</v>
      </c>
      <c r="D6" s="19">
        <f t="shared" si="3"/>
        <v>0</v>
      </c>
      <c r="E6" s="20">
        <f t="shared" si="1"/>
        <v>475.07321895892881</v>
      </c>
      <c r="F6" s="27">
        <f t="shared" si="20"/>
        <v>97.440000000000012</v>
      </c>
      <c r="G6" s="19">
        <f t="shared" si="4"/>
        <v>95116.163506530007</v>
      </c>
      <c r="H6" s="20">
        <f t="shared" si="5"/>
        <v>52.313889928591493</v>
      </c>
      <c r="I6" s="27">
        <f t="shared" si="6"/>
        <v>48.103000000000009</v>
      </c>
      <c r="J6" s="19">
        <f t="shared" si="7"/>
        <v>211301.08435135218</v>
      </c>
      <c r="K6" s="20">
        <f t="shared" si="8"/>
        <v>20.836634706869454</v>
      </c>
      <c r="L6" s="27">
        <f t="shared" si="9"/>
        <v>22.449000000000002</v>
      </c>
      <c r="M6" s="19">
        <f t="shared" si="10"/>
        <v>317747.43371400179</v>
      </c>
      <c r="N6" s="20">
        <f t="shared" si="11"/>
        <v>4.9305636265965793</v>
      </c>
      <c r="O6" s="27">
        <f t="shared" si="12"/>
        <v>41.08</v>
      </c>
      <c r="P6" s="19">
        <f t="shared" si="13"/>
        <v>12531.339788742598</v>
      </c>
      <c r="Q6" s="23">
        <f t="shared" si="14"/>
        <v>23.809545598610935</v>
      </c>
      <c r="R6" s="27">
        <f t="shared" si="15"/>
        <v>12.240000000000002</v>
      </c>
      <c r="S6" s="19">
        <f t="shared" si="16"/>
        <v>0</v>
      </c>
      <c r="T6" s="23">
        <f t="shared" si="17"/>
        <v>0</v>
      </c>
      <c r="U6" s="49">
        <f t="shared" si="18"/>
        <v>0</v>
      </c>
      <c r="V6" s="54">
        <v>0.66666666666666663</v>
      </c>
      <c r="W6" s="13">
        <f t="shared" si="21"/>
        <v>636696.02136062656</v>
      </c>
      <c r="X6" s="25">
        <f t="shared" si="22"/>
        <v>576.96385281959726</v>
      </c>
    </row>
    <row r="7" spans="1:24" x14ac:dyDescent="0.2">
      <c r="A7" s="10">
        <v>4</v>
      </c>
      <c r="B7" s="15">
        <f t="shared" si="2"/>
        <v>987.76000000000022</v>
      </c>
      <c r="C7" s="27">
        <f t="shared" si="19"/>
        <v>716.39296000000013</v>
      </c>
      <c r="D7" s="19">
        <f t="shared" si="3"/>
        <v>0</v>
      </c>
      <c r="E7" s="20">
        <f t="shared" si="1"/>
        <v>848.67448823730979</v>
      </c>
      <c r="F7" s="27">
        <f t="shared" si="20"/>
        <v>108.78355000000003</v>
      </c>
      <c r="G7" s="19">
        <f t="shared" si="4"/>
        <v>206192.58709608272</v>
      </c>
      <c r="H7" s="20">
        <f t="shared" si="5"/>
        <v>113.40592290284549</v>
      </c>
      <c r="I7" s="27">
        <f t="shared" si="6"/>
        <v>57.356010000000012</v>
      </c>
      <c r="J7" s="19">
        <f t="shared" si="7"/>
        <v>489216.69124917837</v>
      </c>
      <c r="K7" s="20">
        <f t="shared" si="8"/>
        <v>48.242201498182865</v>
      </c>
      <c r="L7" s="27">
        <f t="shared" si="9"/>
        <v>26.22683</v>
      </c>
      <c r="M7" s="19">
        <f t="shared" si="10"/>
        <v>720814.68173195969</v>
      </c>
      <c r="N7" s="20">
        <f t="shared" si="11"/>
        <v>11.185055406185581</v>
      </c>
      <c r="O7" s="27">
        <f t="shared" si="12"/>
        <v>68.898600000000016</v>
      </c>
      <c r="P7" s="19">
        <f t="shared" si="13"/>
        <v>40810.3424796826</v>
      </c>
      <c r="Q7" s="23">
        <f t="shared" si="14"/>
        <v>77.539650711396945</v>
      </c>
      <c r="R7" s="27">
        <f t="shared" si="15"/>
        <v>22.34205</v>
      </c>
      <c r="S7" s="19">
        <f t="shared" si="16"/>
        <v>0</v>
      </c>
      <c r="T7" s="23">
        <f t="shared" si="17"/>
        <v>0</v>
      </c>
      <c r="U7" s="49">
        <f t="shared" si="18"/>
        <v>0</v>
      </c>
      <c r="V7" s="54">
        <v>1.3333333333333333</v>
      </c>
      <c r="W7" s="13">
        <f t="shared" si="21"/>
        <v>1457034.3025569033</v>
      </c>
      <c r="X7" s="25">
        <f t="shared" si="22"/>
        <v>1099.0473187559207</v>
      </c>
    </row>
    <row r="8" spans="1:24" x14ac:dyDescent="0.2">
      <c r="A8" s="10">
        <v>5</v>
      </c>
      <c r="B8" s="15">
        <f t="shared" si="2"/>
        <v>977.65795000000003</v>
      </c>
      <c r="C8" s="27">
        <f t="shared" si="19"/>
        <v>659.08152320000011</v>
      </c>
      <c r="D8" s="19">
        <f t="shared" si="3"/>
        <v>0</v>
      </c>
      <c r="E8" s="20">
        <f t="shared" si="1"/>
        <v>379.01967435841021</v>
      </c>
      <c r="F8" s="27">
        <f t="shared" si="20"/>
        <v>116.28661600000002</v>
      </c>
      <c r="G8" s="19">
        <f t="shared" si="4"/>
        <v>106997.18023243532</v>
      </c>
      <c r="H8" s="20">
        <f t="shared" si="5"/>
        <v>58.848449127839423</v>
      </c>
      <c r="I8" s="27">
        <f t="shared" si="6"/>
        <v>64.376091700000018</v>
      </c>
      <c r="J8" s="19">
        <f t="shared" si="7"/>
        <v>266550.63458275434</v>
      </c>
      <c r="K8" s="20">
        <f t="shared" si="8"/>
        <v>26.284854243577161</v>
      </c>
      <c r="L8" s="27">
        <f t="shared" si="9"/>
        <v>28.880746100000003</v>
      </c>
      <c r="M8" s="19">
        <f t="shared" si="10"/>
        <v>385317.74574796378</v>
      </c>
      <c r="N8" s="20">
        <f t="shared" si="11"/>
        <v>5.9790684685028852</v>
      </c>
      <c r="O8" s="27">
        <f t="shared" si="12"/>
        <v>97.230899500000021</v>
      </c>
      <c r="P8" s="19">
        <f t="shared" si="13"/>
        <v>27957.409340757946</v>
      </c>
      <c r="Q8" s="23">
        <f t="shared" si="14"/>
        <v>53.119077747440102</v>
      </c>
      <c r="R8" s="27">
        <f t="shared" si="15"/>
        <v>34.144123499999999</v>
      </c>
      <c r="S8" s="19">
        <f t="shared" si="16"/>
        <v>0</v>
      </c>
      <c r="T8" s="23">
        <f t="shared" si="17"/>
        <v>0</v>
      </c>
      <c r="U8" s="49">
        <f t="shared" si="18"/>
        <v>0</v>
      </c>
      <c r="V8" s="54">
        <v>0.66666666666666663</v>
      </c>
      <c r="W8" s="13">
        <f t="shared" si="21"/>
        <v>786822.96990391146</v>
      </c>
      <c r="X8" s="25">
        <f t="shared" si="22"/>
        <v>523.25112394576979</v>
      </c>
    </row>
    <row r="9" spans="1:24" x14ac:dyDescent="0.2">
      <c r="A9" s="10">
        <v>6</v>
      </c>
      <c r="B9" s="15">
        <f t="shared" si="2"/>
        <v>965.85587650000002</v>
      </c>
      <c r="C9" s="27">
        <f t="shared" si="19"/>
        <v>606.35500134400013</v>
      </c>
      <c r="D9" s="19">
        <f t="shared" si="3"/>
        <v>0</v>
      </c>
      <c r="E9" s="20">
        <f t="shared" si="1"/>
        <v>677.08369011599495</v>
      </c>
      <c r="F9" s="27">
        <f t="shared" si="20"/>
        <v>121.48227109500003</v>
      </c>
      <c r="G9" s="19">
        <f t="shared" si="4"/>
        <v>217044.24428424169</v>
      </c>
      <c r="H9" s="20">
        <f t="shared" si="5"/>
        <v>119.37433435633294</v>
      </c>
      <c r="I9" s="27">
        <f t="shared" si="6"/>
        <v>69.741529364000016</v>
      </c>
      <c r="J9" s="19">
        <f t="shared" si="7"/>
        <v>560711.35564215179</v>
      </c>
      <c r="K9" s="20">
        <f t="shared" si="8"/>
        <v>55.292369792489964</v>
      </c>
      <c r="L9" s="27">
        <f t="shared" si="9"/>
        <v>30.687602037000005</v>
      </c>
      <c r="M9" s="19">
        <f t="shared" si="10"/>
        <v>794998.5321167591</v>
      </c>
      <c r="N9" s="20">
        <f t="shared" si="11"/>
        <v>12.336184119053158</v>
      </c>
      <c r="O9" s="27">
        <f t="shared" si="12"/>
        <v>124.59313691500003</v>
      </c>
      <c r="P9" s="19">
        <f t="shared" si="13"/>
        <v>69563.19377142904</v>
      </c>
      <c r="Q9" s="23">
        <f t="shared" si="14"/>
        <v>132.17006816571521</v>
      </c>
      <c r="R9" s="27">
        <f t="shared" si="15"/>
        <v>47.140459245000002</v>
      </c>
      <c r="S9" s="19">
        <f t="shared" si="16"/>
        <v>0</v>
      </c>
      <c r="T9" s="23">
        <f t="shared" si="17"/>
        <v>0</v>
      </c>
      <c r="U9" s="49">
        <f t="shared" si="18"/>
        <v>0</v>
      </c>
      <c r="V9" s="54">
        <v>1.3333333333333333</v>
      </c>
      <c r="W9" s="13">
        <f t="shared" si="21"/>
        <v>1642317.3258145817</v>
      </c>
      <c r="X9" s="25">
        <f t="shared" si="22"/>
        <v>996.25664654958621</v>
      </c>
    </row>
    <row r="10" spans="1:24" x14ac:dyDescent="0.2">
      <c r="A10" s="10">
        <v>7</v>
      </c>
      <c r="B10" s="15">
        <f t="shared" si="2"/>
        <v>952.85954075500024</v>
      </c>
      <c r="C10" s="27">
        <f t="shared" si="19"/>
        <v>557.84660123648018</v>
      </c>
      <c r="D10" s="19">
        <f t="shared" si="3"/>
        <v>0</v>
      </c>
      <c r="E10" s="20">
        <f t="shared" si="1"/>
        <v>302.38689073141524</v>
      </c>
      <c r="F10" s="27">
        <f t="shared" si="20"/>
        <v>125.22761643865003</v>
      </c>
      <c r="G10" s="19">
        <f t="shared" si="4"/>
        <v>108609.61270616294</v>
      </c>
      <c r="H10" s="20">
        <f t="shared" si="5"/>
        <v>59.735286988389625</v>
      </c>
      <c r="I10" s="27">
        <f t="shared" si="6"/>
        <v>73.884281702380022</v>
      </c>
      <c r="J10" s="19">
        <f t="shared" si="7"/>
        <v>288358.47491475008</v>
      </c>
      <c r="K10" s="20">
        <f t="shared" si="8"/>
        <v>28.435349609648963</v>
      </c>
      <c r="L10" s="27">
        <f t="shared" si="9"/>
        <v>31.868580436540007</v>
      </c>
      <c r="M10" s="19">
        <f t="shared" si="10"/>
        <v>400773.38384740957</v>
      </c>
      <c r="N10" s="20">
        <f t="shared" si="11"/>
        <v>6.2188973355632511</v>
      </c>
      <c r="O10" s="27">
        <f t="shared" si="12"/>
        <v>150.22304002430005</v>
      </c>
      <c r="P10" s="19">
        <f t="shared" si="13"/>
        <v>40715.026217317085</v>
      </c>
      <c r="Q10" s="23">
        <f t="shared" si="14"/>
        <v>77.358549812902453</v>
      </c>
      <c r="R10" s="27">
        <f t="shared" si="15"/>
        <v>60.949880161650007</v>
      </c>
      <c r="S10" s="19">
        <f t="shared" si="16"/>
        <v>0</v>
      </c>
      <c r="T10" s="23">
        <f t="shared" si="17"/>
        <v>0</v>
      </c>
      <c r="U10" s="49">
        <f t="shared" si="18"/>
        <v>0</v>
      </c>
      <c r="V10" s="54">
        <v>0.66666666666666663</v>
      </c>
      <c r="W10" s="13">
        <f t="shared" si="21"/>
        <v>838456.49768563977</v>
      </c>
      <c r="X10" s="25">
        <f t="shared" si="22"/>
        <v>474.13497447791951</v>
      </c>
    </row>
    <row r="11" spans="1:24" x14ac:dyDescent="0.2">
      <c r="A11" s="10">
        <v>8</v>
      </c>
      <c r="B11" s="15">
        <f t="shared" si="2"/>
        <v>939.05011983835027</v>
      </c>
      <c r="C11" s="27">
        <f t="shared" si="19"/>
        <v>513.21887313756179</v>
      </c>
      <c r="D11" s="19">
        <f t="shared" si="3"/>
        <v>0</v>
      </c>
      <c r="E11" s="20">
        <f t="shared" si="1"/>
        <v>540.18629023864469</v>
      </c>
      <c r="F11" s="27">
        <f t="shared" si="20"/>
        <v>128.00679883449556</v>
      </c>
      <c r="G11" s="19">
        <f t="shared" si="4"/>
        <v>215572.79798382323</v>
      </c>
      <c r="H11" s="20">
        <f t="shared" si="5"/>
        <v>118.56503889110276</v>
      </c>
      <c r="I11" s="27">
        <f t="shared" si="6"/>
        <v>77.11484371306463</v>
      </c>
      <c r="J11" s="19">
        <f t="shared" si="7"/>
        <v>584401.62940578407</v>
      </c>
      <c r="K11" s="20">
        <f t="shared" si="8"/>
        <v>57.628494010848144</v>
      </c>
      <c r="L11" s="27">
        <f t="shared" si="9"/>
        <v>32.595398485991808</v>
      </c>
      <c r="M11" s="19">
        <f t="shared" si="10"/>
        <v>795948.95815311791</v>
      </c>
      <c r="N11" s="20">
        <f t="shared" si="11"/>
        <v>12.350932109272518</v>
      </c>
      <c r="O11" s="27">
        <f t="shared" si="12"/>
        <v>173.77334447079355</v>
      </c>
      <c r="P11" s="19">
        <f t="shared" si="13"/>
        <v>91452.188535240624</v>
      </c>
      <c r="Q11" s="23">
        <f t="shared" si="14"/>
        <v>173.75915821695719</v>
      </c>
      <c r="R11" s="27">
        <f t="shared" si="15"/>
        <v>75.290741358093015</v>
      </c>
      <c r="S11" s="19">
        <f t="shared" si="16"/>
        <v>0</v>
      </c>
      <c r="T11" s="23">
        <f t="shared" si="17"/>
        <v>0</v>
      </c>
      <c r="U11" s="49">
        <f t="shared" si="18"/>
        <v>0</v>
      </c>
      <c r="V11" s="54">
        <v>1.3333333333333333</v>
      </c>
      <c r="W11" s="13">
        <f t="shared" si="21"/>
        <v>1687375.5740779659</v>
      </c>
      <c r="X11" s="25">
        <f t="shared" si="22"/>
        <v>902.48991346682533</v>
      </c>
    </row>
    <row r="12" spans="1:24" x14ac:dyDescent="0.2">
      <c r="A12" s="10">
        <v>9</v>
      </c>
      <c r="B12" s="15">
        <f t="shared" si="2"/>
        <v>924.70925864190735</v>
      </c>
      <c r="C12" s="27">
        <f t="shared" si="19"/>
        <v>472.16136328655688</v>
      </c>
      <c r="D12" s="19">
        <f t="shared" si="3"/>
        <v>0</v>
      </c>
      <c r="E12" s="20">
        <f t="shared" si="1"/>
        <v>241.2482461259967</v>
      </c>
      <c r="F12" s="27">
        <f t="shared" si="20"/>
        <v>130.09843953203278</v>
      </c>
      <c r="G12" s="19">
        <f t="shared" si="4"/>
        <v>106356.9289697552</v>
      </c>
      <c r="H12" s="20">
        <f t="shared" si="5"/>
        <v>58.496310933365365</v>
      </c>
      <c r="I12" s="27">
        <f t="shared" si="6"/>
        <v>79.652400721878848</v>
      </c>
      <c r="J12" s="19">
        <f t="shared" si="7"/>
        <v>293025.2768860202</v>
      </c>
      <c r="K12" s="20">
        <f t="shared" si="8"/>
        <v>28.895548137371431</v>
      </c>
      <c r="L12" s="27">
        <f t="shared" si="9"/>
        <v>32.997114531331221</v>
      </c>
      <c r="M12" s="19">
        <f t="shared" si="10"/>
        <v>391144.89609614253</v>
      </c>
      <c r="N12" s="20">
        <f t="shared" si="11"/>
        <v>6.0694897670091077</v>
      </c>
      <c r="O12" s="27">
        <f t="shared" si="12"/>
        <v>195.13201125141131</v>
      </c>
      <c r="P12" s="19">
        <f t="shared" si="13"/>
        <v>49850.812812982171</v>
      </c>
      <c r="Q12" s="23">
        <f t="shared" si="14"/>
        <v>94.716544344666119</v>
      </c>
      <c r="R12" s="27">
        <f t="shared" si="15"/>
        <v>89.958670676789325</v>
      </c>
      <c r="S12" s="19">
        <f t="shared" si="16"/>
        <v>0</v>
      </c>
      <c r="T12" s="23">
        <f t="shared" si="17"/>
        <v>0</v>
      </c>
      <c r="U12" s="49">
        <f t="shared" si="18"/>
        <v>0</v>
      </c>
      <c r="V12" s="54">
        <v>0.66666666666666663</v>
      </c>
      <c r="W12" s="13">
        <f t="shared" si="21"/>
        <v>840377.91476489999</v>
      </c>
      <c r="X12" s="25">
        <f t="shared" si="22"/>
        <v>429.42613930840866</v>
      </c>
    </row>
    <row r="13" spans="1:24" x14ac:dyDescent="0.2">
      <c r="A13" s="10">
        <v>10</v>
      </c>
      <c r="B13" s="15">
        <f t="shared" si="2"/>
        <v>910.04132932321102</v>
      </c>
      <c r="C13" s="27">
        <f t="shared" si="19"/>
        <v>434.38845422363232</v>
      </c>
      <c r="D13" s="19">
        <f t="shared" si="3"/>
        <v>0</v>
      </c>
      <c r="E13" s="20">
        <f t="shared" si="1"/>
        <v>430.96774065226595</v>
      </c>
      <c r="F13" s="27">
        <f t="shared" si="20"/>
        <v>131.66787502138425</v>
      </c>
      <c r="G13" s="19">
        <f t="shared" si="4"/>
        <v>209009.63112702832</v>
      </c>
      <c r="H13" s="20">
        <f t="shared" si="5"/>
        <v>114.95529711986558</v>
      </c>
      <c r="I13" s="27">
        <f t="shared" si="6"/>
        <v>81.650967941198857</v>
      </c>
      <c r="J13" s="19">
        <f t="shared" si="7"/>
        <v>583257.48854854715</v>
      </c>
      <c r="K13" s="20">
        <f t="shared" si="8"/>
        <v>57.515669009648391</v>
      </c>
      <c r="L13" s="27">
        <f t="shared" si="9"/>
        <v>33.16803100681301</v>
      </c>
      <c r="M13" s="19">
        <f t="shared" si="10"/>
        <v>763438.68927678757</v>
      </c>
      <c r="N13" s="20">
        <f t="shared" si="11"/>
        <v>11.846462419812223</v>
      </c>
      <c r="O13" s="27">
        <f t="shared" si="12"/>
        <v>214.31729959108358</v>
      </c>
      <c r="P13" s="19">
        <f t="shared" si="13"/>
        <v>106314.79898854911</v>
      </c>
      <c r="Q13" s="23">
        <f t="shared" si="14"/>
        <v>201.99811807824332</v>
      </c>
      <c r="R13" s="27">
        <f t="shared" si="15"/>
        <v>104.80737221588838</v>
      </c>
      <c r="S13" s="19">
        <f t="shared" si="16"/>
        <v>0</v>
      </c>
      <c r="T13" s="23">
        <f t="shared" si="17"/>
        <v>0</v>
      </c>
      <c r="U13" s="49">
        <f t="shared" si="18"/>
        <v>0</v>
      </c>
      <c r="V13" s="54">
        <v>1.3333333333333333</v>
      </c>
      <c r="W13" s="13">
        <f t="shared" si="21"/>
        <v>1662020.6079409122</v>
      </c>
      <c r="X13" s="25">
        <f t="shared" si="22"/>
        <v>817.28328727983546</v>
      </c>
    </row>
    <row r="14" spans="1:24" x14ac:dyDescent="0.2">
      <c r="A14" s="10">
        <v>11</v>
      </c>
      <c r="B14" s="15">
        <f t="shared" si="2"/>
        <v>895.19262778411189</v>
      </c>
      <c r="C14" s="27">
        <f t="shared" si="19"/>
        <v>399.63737788574173</v>
      </c>
      <c r="D14" s="19">
        <f t="shared" si="3"/>
        <v>0</v>
      </c>
      <c r="E14" s="20">
        <f t="shared" si="1"/>
        <v>192.47102980586635</v>
      </c>
      <c r="F14" s="27">
        <f t="shared" si="20"/>
        <v>132.81781983124969</v>
      </c>
      <c r="G14" s="19">
        <f t="shared" si="4"/>
        <v>102347.11355472619</v>
      </c>
      <c r="H14" s="20">
        <f t="shared" si="5"/>
        <v>56.290912455099402</v>
      </c>
      <c r="I14" s="27">
        <f t="shared" si="6"/>
        <v>83.219403881225219</v>
      </c>
      <c r="J14" s="19">
        <f t="shared" si="7"/>
        <v>288573.44635038101</v>
      </c>
      <c r="K14" s="20">
        <f t="shared" si="8"/>
        <v>28.45654818177368</v>
      </c>
      <c r="L14" s="27">
        <f t="shared" si="9"/>
        <v>33.175545236822657</v>
      </c>
      <c r="M14" s="19">
        <f t="shared" si="10"/>
        <v>370685.26534054242</v>
      </c>
      <c r="N14" s="20">
        <f t="shared" si="11"/>
        <v>5.7520127380428985</v>
      </c>
      <c r="O14" s="27">
        <f t="shared" si="12"/>
        <v>231.41686699600689</v>
      </c>
      <c r="P14" s="19">
        <f t="shared" si="13"/>
        <v>55726.822827247088</v>
      </c>
      <c r="Q14" s="23">
        <f t="shared" si="14"/>
        <v>105.88096337176947</v>
      </c>
      <c r="R14" s="27">
        <f t="shared" si="15"/>
        <v>119.73298616895423</v>
      </c>
      <c r="S14" s="19">
        <f t="shared" si="16"/>
        <v>0</v>
      </c>
      <c r="T14" s="23">
        <f t="shared" si="17"/>
        <v>0</v>
      </c>
      <c r="U14" s="49">
        <f t="shared" si="18"/>
        <v>0</v>
      </c>
      <c r="V14" s="54">
        <v>0.66666666666666663</v>
      </c>
      <c r="W14" s="13">
        <f t="shared" si="21"/>
        <v>817332.64807289664</v>
      </c>
      <c r="X14" s="25">
        <f t="shared" si="22"/>
        <v>388.85146655255176</v>
      </c>
    </row>
    <row r="15" spans="1:24" x14ac:dyDescent="0.2">
      <c r="A15" s="10">
        <v>12</v>
      </c>
      <c r="B15" s="15">
        <f t="shared" si="2"/>
        <v>880.26701383104626</v>
      </c>
      <c r="C15" s="27">
        <f t="shared" si="19"/>
        <v>367.66638765488239</v>
      </c>
      <c r="D15" s="19">
        <f t="shared" si="3"/>
        <v>0</v>
      </c>
      <c r="E15" s="20">
        <f t="shared" si="1"/>
        <v>343.83174256581952</v>
      </c>
      <c r="F15" s="27">
        <f t="shared" si="20"/>
        <v>133.61610867826136</v>
      </c>
      <c r="G15" s="19">
        <f t="shared" si="4"/>
        <v>199926.7206327685</v>
      </c>
      <c r="H15" s="20">
        <f t="shared" si="5"/>
        <v>109.95969634802267</v>
      </c>
      <c r="I15" s="27">
        <f t="shared" si="6"/>
        <v>84.43579248121641</v>
      </c>
      <c r="J15" s="19">
        <f t="shared" si="7"/>
        <v>568527.03373895329</v>
      </c>
      <c r="K15" s="20">
        <f t="shared" si="8"/>
        <v>56.063082493702346</v>
      </c>
      <c r="L15" s="27">
        <f t="shared" si="9"/>
        <v>33.067056979452531</v>
      </c>
      <c r="M15" s="19">
        <f t="shared" si="10"/>
        <v>717423.45110922283</v>
      </c>
      <c r="N15" s="20">
        <f t="shared" si="11"/>
        <v>11.132432862039664</v>
      </c>
      <c r="O15" s="27">
        <f t="shared" si="12"/>
        <v>246.55267268066331</v>
      </c>
      <c r="P15" s="19">
        <f t="shared" si="13"/>
        <v>115284.72268401396</v>
      </c>
      <c r="Q15" s="23">
        <f t="shared" si="14"/>
        <v>219.04097309962654</v>
      </c>
      <c r="R15" s="27">
        <f t="shared" si="15"/>
        <v>134.66198152552442</v>
      </c>
      <c r="S15" s="19">
        <f t="shared" si="16"/>
        <v>0</v>
      </c>
      <c r="T15" s="23">
        <f t="shared" si="17"/>
        <v>0</v>
      </c>
      <c r="U15" s="49">
        <f t="shared" si="18"/>
        <v>0</v>
      </c>
      <c r="V15" s="54">
        <v>1.3333333333333333</v>
      </c>
      <c r="W15" s="13">
        <f t="shared" si="21"/>
        <v>1601161.9281649585</v>
      </c>
      <c r="X15" s="25">
        <f t="shared" si="22"/>
        <v>740.02792736921072</v>
      </c>
    </row>
    <row r="16" spans="1:24" x14ac:dyDescent="0.2">
      <c r="A16" s="10">
        <v>13</v>
      </c>
      <c r="B16" s="15">
        <f t="shared" si="2"/>
        <v>865.33801847447603</v>
      </c>
      <c r="C16" s="27">
        <f t="shared" si="19"/>
        <v>338.25307664249181</v>
      </c>
      <c r="D16" s="19">
        <f t="shared" si="3"/>
        <v>0</v>
      </c>
      <c r="E16" s="20">
        <f t="shared" si="1"/>
        <v>153.5559238643466</v>
      </c>
      <c r="F16" s="27">
        <f t="shared" si="20"/>
        <v>134.11084691574115</v>
      </c>
      <c r="G16" s="19">
        <f t="shared" si="4"/>
        <v>97411.158309220133</v>
      </c>
      <c r="H16" s="20">
        <f t="shared" si="5"/>
        <v>53.576137070071077</v>
      </c>
      <c r="I16" s="27">
        <f t="shared" si="6"/>
        <v>85.357400592659417</v>
      </c>
      <c r="J16" s="19">
        <f t="shared" si="7"/>
        <v>278996.33429714834</v>
      </c>
      <c r="K16" s="20">
        <f t="shared" si="8"/>
        <v>27.512138520968794</v>
      </c>
      <c r="L16" s="27">
        <f t="shared" si="9"/>
        <v>32.87556123845755</v>
      </c>
      <c r="M16" s="19">
        <f t="shared" si="10"/>
        <v>346246.96899856423</v>
      </c>
      <c r="N16" s="20">
        <f t="shared" si="11"/>
        <v>5.3727977948053072</v>
      </c>
      <c r="O16" s="27">
        <f t="shared" si="12"/>
        <v>259.86095744437245</v>
      </c>
      <c r="P16" s="19">
        <f t="shared" si="13"/>
        <v>58984.222394551856</v>
      </c>
      <c r="Q16" s="23">
        <f t="shared" si="14"/>
        <v>112.07002254964853</v>
      </c>
      <c r="R16" s="27">
        <f t="shared" si="15"/>
        <v>149.54215716627806</v>
      </c>
      <c r="S16" s="19">
        <f t="shared" si="16"/>
        <v>0</v>
      </c>
      <c r="T16" s="23">
        <f t="shared" si="17"/>
        <v>0</v>
      </c>
      <c r="U16" s="49">
        <f t="shared" si="18"/>
        <v>0</v>
      </c>
      <c r="V16" s="54">
        <v>0.66666666666666663</v>
      </c>
      <c r="W16" s="13">
        <f t="shared" si="21"/>
        <v>781638.68399948464</v>
      </c>
      <c r="X16" s="25">
        <f t="shared" si="22"/>
        <v>352.08701979984028</v>
      </c>
    </row>
    <row r="17" spans="1:24" x14ac:dyDescent="0.2">
      <c r="A17" s="10">
        <v>14</v>
      </c>
      <c r="B17" s="15">
        <f t="shared" si="2"/>
        <v>850.45784283372222</v>
      </c>
      <c r="C17" s="27">
        <f t="shared" si="19"/>
        <v>311.1928305110925</v>
      </c>
      <c r="D17" s="19">
        <f t="shared" si="3"/>
        <v>0</v>
      </c>
      <c r="E17" s="20">
        <f t="shared" si="1"/>
        <v>274.31349505863858</v>
      </c>
      <c r="F17" s="27">
        <f t="shared" si="20"/>
        <v>134.33867010142654</v>
      </c>
      <c r="G17" s="19">
        <f t="shared" si="4"/>
        <v>189469.19853663247</v>
      </c>
      <c r="H17" s="20">
        <f t="shared" si="5"/>
        <v>104.20805919514785</v>
      </c>
      <c r="I17" s="27">
        <f t="shared" si="6"/>
        <v>86.027412514161099</v>
      </c>
      <c r="J17" s="19">
        <f t="shared" si="7"/>
        <v>545992.84033550788</v>
      </c>
      <c r="K17" s="20">
        <f t="shared" si="8"/>
        <v>53.840960644195917</v>
      </c>
      <c r="L17" s="27">
        <f t="shared" si="9"/>
        <v>32.623921474552603</v>
      </c>
      <c r="M17" s="19">
        <f t="shared" si="10"/>
        <v>667178.03316394589</v>
      </c>
      <c r="N17" s="20">
        <f t="shared" si="11"/>
        <v>10.352762583578471</v>
      </c>
      <c r="O17" s="27">
        <f t="shared" si="12"/>
        <v>271.48100567518372</v>
      </c>
      <c r="P17" s="19">
        <f t="shared" si="13"/>
        <v>119653.95119560638</v>
      </c>
      <c r="Q17" s="23">
        <f t="shared" si="14"/>
        <v>227.3425072716521</v>
      </c>
      <c r="R17" s="27">
        <f t="shared" si="15"/>
        <v>164.33615972358396</v>
      </c>
      <c r="S17" s="19">
        <f t="shared" si="16"/>
        <v>0</v>
      </c>
      <c r="T17" s="23">
        <f t="shared" si="17"/>
        <v>0</v>
      </c>
      <c r="U17" s="49">
        <f t="shared" si="18"/>
        <v>0</v>
      </c>
      <c r="V17" s="54">
        <v>1.3333333333333333</v>
      </c>
      <c r="W17" s="13">
        <f t="shared" si="21"/>
        <v>1522294.0232316926</v>
      </c>
      <c r="X17" s="25">
        <f t="shared" si="22"/>
        <v>670.0577847532129</v>
      </c>
    </row>
    <row r="18" spans="1:24" x14ac:dyDescent="0.2">
      <c r="A18" s="10">
        <v>15</v>
      </c>
      <c r="B18" s="15">
        <f t="shared" si="2"/>
        <v>835.66384027641652</v>
      </c>
      <c r="C18" s="27">
        <f t="shared" si="19"/>
        <v>286.29740407020512</v>
      </c>
      <c r="D18" s="19">
        <f t="shared" si="3"/>
        <v>0</v>
      </c>
      <c r="E18" s="20">
        <f t="shared" si="1"/>
        <v>122.5089395407512</v>
      </c>
      <c r="F18" s="27">
        <f t="shared" si="20"/>
        <v>134.32924828470831</v>
      </c>
      <c r="G18" s="19">
        <f t="shared" si="4"/>
        <v>91968.888422784075</v>
      </c>
      <c r="H18" s="20">
        <f t="shared" si="5"/>
        <v>50.582888632531244</v>
      </c>
      <c r="I18" s="27">
        <f t="shared" si="6"/>
        <v>86.479417486347984</v>
      </c>
      <c r="J18" s="19">
        <f t="shared" si="7"/>
        <v>266437.66712410114</v>
      </c>
      <c r="K18" s="20">
        <f t="shared" si="8"/>
        <v>26.273714396959974</v>
      </c>
      <c r="L18" s="27">
        <f t="shared" si="9"/>
        <v>32.328000919511389</v>
      </c>
      <c r="M18" s="19">
        <f t="shared" si="10"/>
        <v>320935.09074323915</v>
      </c>
      <c r="N18" s="20">
        <f t="shared" si="11"/>
        <v>4.9800272701537098</v>
      </c>
      <c r="O18" s="27">
        <f t="shared" si="12"/>
        <v>281.54900485209498</v>
      </c>
      <c r="P18" s="19">
        <f t="shared" si="13"/>
        <v>60238.530847324524</v>
      </c>
      <c r="Q18" s="23">
        <f t="shared" si="14"/>
        <v>114.45320860991662</v>
      </c>
      <c r="R18" s="27">
        <f t="shared" si="15"/>
        <v>179.01692438713263</v>
      </c>
      <c r="S18" s="19">
        <f t="shared" si="16"/>
        <v>0</v>
      </c>
      <c r="T18" s="23">
        <f t="shared" si="17"/>
        <v>0</v>
      </c>
      <c r="U18" s="49">
        <f t="shared" si="18"/>
        <v>0</v>
      </c>
      <c r="V18" s="54">
        <v>0.66666666666666663</v>
      </c>
      <c r="W18" s="13">
        <f t="shared" si="21"/>
        <v>739580.17713744892</v>
      </c>
      <c r="X18" s="25">
        <f t="shared" si="22"/>
        <v>318.79877845031274</v>
      </c>
    </row>
    <row r="19" spans="1:24" x14ac:dyDescent="0.2">
      <c r="A19" s="10">
        <v>16</v>
      </c>
      <c r="B19" s="15">
        <f t="shared" si="2"/>
        <v>820.98307561286776</v>
      </c>
      <c r="C19" s="27">
        <f t="shared" si="19"/>
        <v>263.39361174458872</v>
      </c>
      <c r="D19" s="19">
        <f t="shared" si="3"/>
        <v>0</v>
      </c>
      <c r="E19" s="20">
        <f t="shared" si="1"/>
        <v>218.850921121342</v>
      </c>
      <c r="F19" s="27">
        <f t="shared" si="20"/>
        <v>134.10775294809756</v>
      </c>
      <c r="G19" s="19">
        <f t="shared" si="4"/>
        <v>178285.90491808686</v>
      </c>
      <c r="H19" s="20">
        <f t="shared" si="5"/>
        <v>98.05724770494777</v>
      </c>
      <c r="I19" s="27">
        <f t="shared" si="6"/>
        <v>86.74037369026405</v>
      </c>
      <c r="J19" s="19">
        <f t="shared" si="7"/>
        <v>518915.83852195949</v>
      </c>
      <c r="K19" s="20">
        <f t="shared" si="8"/>
        <v>51.170867409804337</v>
      </c>
      <c r="L19" s="27">
        <f t="shared" si="9"/>
        <v>31.998887123409943</v>
      </c>
      <c r="M19" s="19">
        <f t="shared" si="10"/>
        <v>616830.72839169472</v>
      </c>
      <c r="N19" s="20">
        <f t="shared" si="11"/>
        <v>9.5715113026297445</v>
      </c>
      <c r="O19" s="27">
        <f t="shared" si="12"/>
        <v>290.19484969272742</v>
      </c>
      <c r="P19" s="19">
        <f t="shared" si="13"/>
        <v>120559.89084030539</v>
      </c>
      <c r="Q19" s="23">
        <f t="shared" si="14"/>
        <v>229.06379259658021</v>
      </c>
      <c r="R19" s="27">
        <f t="shared" si="15"/>
        <v>193.56452480091275</v>
      </c>
      <c r="S19" s="19">
        <f t="shared" si="16"/>
        <v>0</v>
      </c>
      <c r="T19" s="23">
        <f t="shared" si="17"/>
        <v>0</v>
      </c>
      <c r="U19" s="49">
        <f t="shared" si="18"/>
        <v>0</v>
      </c>
      <c r="V19" s="54">
        <v>1.3333333333333333</v>
      </c>
      <c r="W19" s="13">
        <f t="shared" si="21"/>
        <v>1434592.3626720465</v>
      </c>
      <c r="X19" s="25">
        <f t="shared" si="22"/>
        <v>606.71434013530404</v>
      </c>
    </row>
    <row r="20" spans="1:24" x14ac:dyDescent="0.2">
      <c r="A20" s="10">
        <v>17</v>
      </c>
      <c r="B20" s="15">
        <f t="shared" si="2"/>
        <v>806.4354751990877</v>
      </c>
      <c r="C20" s="27">
        <f t="shared" si="19"/>
        <v>242.32212280502165</v>
      </c>
      <c r="D20" s="19">
        <f t="shared" si="3"/>
        <v>0</v>
      </c>
      <c r="E20" s="20">
        <f t="shared" si="1"/>
        <v>97.739246326036238</v>
      </c>
      <c r="F20" s="27">
        <f t="shared" si="20"/>
        <v>133.69622365727881</v>
      </c>
      <c r="G20" s="19">
        <f t="shared" si="4"/>
        <v>86280.974997327401</v>
      </c>
      <c r="H20" s="20">
        <f t="shared" si="5"/>
        <v>47.454536248530069</v>
      </c>
      <c r="I20" s="27">
        <f t="shared" si="6"/>
        <v>86.832558584666828</v>
      </c>
      <c r="J20" s="19">
        <f t="shared" si="7"/>
        <v>252168.60469681438</v>
      </c>
      <c r="K20" s="20">
        <f t="shared" si="8"/>
        <v>24.866626296491418</v>
      </c>
      <c r="L20" s="27">
        <f t="shared" si="9"/>
        <v>31.644435732690468</v>
      </c>
      <c r="M20" s="19">
        <f t="shared" si="10"/>
        <v>296115.58245062095</v>
      </c>
      <c r="N20" s="20">
        <f t="shared" si="11"/>
        <v>4.5948969690613595</v>
      </c>
      <c r="O20" s="27">
        <f t="shared" si="12"/>
        <v>297.54063521389548</v>
      </c>
      <c r="P20" s="19">
        <f t="shared" si="13"/>
        <v>60005.65920383553</v>
      </c>
      <c r="Q20" s="23">
        <f t="shared" si="14"/>
        <v>114.01075248728753</v>
      </c>
      <c r="R20" s="27">
        <f t="shared" si="15"/>
        <v>207.96402400644723</v>
      </c>
      <c r="S20" s="19">
        <f t="shared" si="16"/>
        <v>0</v>
      </c>
      <c r="T20" s="23">
        <f t="shared" si="17"/>
        <v>0</v>
      </c>
      <c r="U20" s="49">
        <f t="shared" si="18"/>
        <v>0</v>
      </c>
      <c r="V20" s="54">
        <v>0.66666666666666663</v>
      </c>
      <c r="W20" s="13">
        <f t="shared" si="21"/>
        <v>694570.82134859823</v>
      </c>
      <c r="X20" s="25">
        <f t="shared" si="22"/>
        <v>288.66605832740663</v>
      </c>
    </row>
    <row r="21" spans="1:24" x14ac:dyDescent="0.2">
      <c r="A21" s="10">
        <v>18</v>
      </c>
      <c r="B21" s="15">
        <f t="shared" si="2"/>
        <v>792.03597599355317</v>
      </c>
      <c r="C21" s="27">
        <f t="shared" si="19"/>
        <v>222.93635298061992</v>
      </c>
      <c r="D21" s="19">
        <f t="shared" si="3"/>
        <v>0</v>
      </c>
      <c r="E21" s="20">
        <f t="shared" si="1"/>
        <v>174.60214877660846</v>
      </c>
      <c r="F21" s="27">
        <f t="shared" si="20"/>
        <v>133.11434296810521</v>
      </c>
      <c r="G21" s="19">
        <f t="shared" si="4"/>
        <v>166806.71414581215</v>
      </c>
      <c r="H21" s="20">
        <f t="shared" si="5"/>
        <v>91.743692780196668</v>
      </c>
      <c r="I21" s="27">
        <f t="shared" si="6"/>
        <v>86.774853519957702</v>
      </c>
      <c r="J21" s="19">
        <f t="shared" si="7"/>
        <v>489322.37792943325</v>
      </c>
      <c r="K21" s="20">
        <f t="shared" si="8"/>
        <v>48.252623379152446</v>
      </c>
      <c r="L21" s="27">
        <f t="shared" si="9"/>
        <v>31.270322882095474</v>
      </c>
      <c r="M21" s="19">
        <f t="shared" si="10"/>
        <v>568184.05561762687</v>
      </c>
      <c r="N21" s="20">
        <f t="shared" si="11"/>
        <v>8.8166491388942099</v>
      </c>
      <c r="O21" s="27">
        <f t="shared" si="12"/>
        <v>303.70010756306425</v>
      </c>
      <c r="P21" s="19">
        <f t="shared" si="13"/>
        <v>118927.87034335265</v>
      </c>
      <c r="Q21" s="23">
        <f t="shared" si="14"/>
        <v>225.96295365237003</v>
      </c>
      <c r="R21" s="27">
        <f t="shared" si="15"/>
        <v>222.20402008615795</v>
      </c>
      <c r="S21" s="19">
        <f t="shared" si="16"/>
        <v>0</v>
      </c>
      <c r="T21" s="23">
        <f t="shared" si="17"/>
        <v>0</v>
      </c>
      <c r="U21" s="49">
        <f t="shared" si="18"/>
        <v>0</v>
      </c>
      <c r="V21" s="54">
        <v>1.3333333333333333</v>
      </c>
      <c r="W21" s="13">
        <f t="shared" si="21"/>
        <v>1343241.0180362249</v>
      </c>
      <c r="X21" s="25">
        <f t="shared" si="22"/>
        <v>549.37806772722183</v>
      </c>
    </row>
    <row r="22" spans="1:24" x14ac:dyDescent="0.2">
      <c r="A22" s="10">
        <v>19</v>
      </c>
      <c r="B22" s="15">
        <f t="shared" si="2"/>
        <v>777.79597991384253</v>
      </c>
      <c r="C22" s="27">
        <f t="shared" si="19"/>
        <v>205.10144474217034</v>
      </c>
      <c r="D22" s="19">
        <f t="shared" si="3"/>
        <v>0</v>
      </c>
      <c r="E22" s="20">
        <f t="shared" si="1"/>
        <v>77.977658676931924</v>
      </c>
      <c r="F22" s="27">
        <f t="shared" si="20"/>
        <v>132.37989401060372</v>
      </c>
      <c r="G22" s="19">
        <f t="shared" si="4"/>
        <v>80527.364037430336</v>
      </c>
      <c r="H22" s="20">
        <f t="shared" si="5"/>
        <v>44.290050220586679</v>
      </c>
      <c r="I22" s="27">
        <f t="shared" si="6"/>
        <v>86.583594990655513</v>
      </c>
      <c r="J22" s="19">
        <f t="shared" si="7"/>
        <v>237011.58899670636</v>
      </c>
      <c r="K22" s="20">
        <f t="shared" si="8"/>
        <v>23.371976137175206</v>
      </c>
      <c r="L22" s="27">
        <f t="shared" si="9"/>
        <v>30.880752998847591</v>
      </c>
      <c r="M22" s="19">
        <f t="shared" si="10"/>
        <v>272381.33122534596</v>
      </c>
      <c r="N22" s="20">
        <f t="shared" si="11"/>
        <v>4.2266068638415755</v>
      </c>
      <c r="O22" s="27">
        <f t="shared" si="12"/>
        <v>308.77864787462244</v>
      </c>
      <c r="P22" s="19">
        <f t="shared" si="13"/>
        <v>58697.38275359229</v>
      </c>
      <c r="Q22" s="23">
        <f t="shared" si="14"/>
        <v>111.52502723182535</v>
      </c>
      <c r="R22" s="27">
        <f t="shared" si="15"/>
        <v>236.27566538310091</v>
      </c>
      <c r="S22" s="19">
        <f t="shared" si="16"/>
        <v>0</v>
      </c>
      <c r="T22" s="23">
        <f t="shared" si="17"/>
        <v>0</v>
      </c>
      <c r="U22" s="49">
        <f t="shared" si="18"/>
        <v>0</v>
      </c>
      <c r="V22" s="54">
        <v>0.66666666666666663</v>
      </c>
      <c r="W22" s="13">
        <f t="shared" si="21"/>
        <v>648617.66701307497</v>
      </c>
      <c r="X22" s="25">
        <f t="shared" si="22"/>
        <v>261.39131913036073</v>
      </c>
    </row>
    <row r="23" spans="1:24" x14ac:dyDescent="0.2">
      <c r="A23" s="10">
        <v>20</v>
      </c>
      <c r="B23" s="15">
        <f t="shared" si="2"/>
        <v>763.72433461689957</v>
      </c>
      <c r="C23" s="27">
        <f t="shared" si="19"/>
        <v>188.69332916279672</v>
      </c>
      <c r="D23" s="19">
        <f t="shared" si="3"/>
        <v>0</v>
      </c>
      <c r="E23" s="20">
        <f t="shared" si="1"/>
        <v>139.29989511218909</v>
      </c>
      <c r="F23" s="27">
        <f t="shared" si="20"/>
        <v>131.50904788099595</v>
      </c>
      <c r="G23" s="19">
        <f t="shared" si="4"/>
        <v>155335.19203805283</v>
      </c>
      <c r="H23" s="20">
        <f t="shared" si="5"/>
        <v>85.434355620929068</v>
      </c>
      <c r="I23" s="27">
        <f t="shared" si="6"/>
        <v>86.273145333970589</v>
      </c>
      <c r="J23" s="19">
        <f t="shared" si="7"/>
        <v>458566.54856460908</v>
      </c>
      <c r="K23" s="20">
        <f t="shared" si="8"/>
        <v>45.219756872343396</v>
      </c>
      <c r="L23" s="27">
        <f t="shared" si="9"/>
        <v>30.478930195443823</v>
      </c>
      <c r="M23" s="19">
        <f t="shared" si="10"/>
        <v>522013.75490122178</v>
      </c>
      <c r="N23" s="20">
        <f t="shared" si="11"/>
        <v>8.1002134381224078</v>
      </c>
      <c r="O23" s="27">
        <f t="shared" si="12"/>
        <v>312.87354319421115</v>
      </c>
      <c r="P23" s="19">
        <f t="shared" si="13"/>
        <v>115486.9966620038</v>
      </c>
      <c r="Q23" s="23">
        <f t="shared" si="14"/>
        <v>219.42529365780717</v>
      </c>
      <c r="R23" s="27">
        <f t="shared" si="15"/>
        <v>250.17200423258234</v>
      </c>
      <c r="S23" s="19">
        <f t="shared" si="16"/>
        <v>0</v>
      </c>
      <c r="T23" s="23">
        <f t="shared" si="17"/>
        <v>0</v>
      </c>
      <c r="U23" s="49">
        <f t="shared" si="18"/>
        <v>0</v>
      </c>
      <c r="V23" s="54">
        <v>1.3333333333333333</v>
      </c>
      <c r="W23" s="13">
        <f t="shared" si="21"/>
        <v>1251402.4921658873</v>
      </c>
      <c r="X23" s="25">
        <f t="shared" si="22"/>
        <v>497.47951470139117</v>
      </c>
    </row>
    <row r="24" spans="1:24" x14ac:dyDescent="0.2">
      <c r="A24" s="10">
        <v>21</v>
      </c>
      <c r="B24" s="15">
        <f t="shared" si="2"/>
        <v>749.82799576741832</v>
      </c>
      <c r="C24" s="27">
        <f t="shared" si="19"/>
        <v>173.59786282977299</v>
      </c>
      <c r="D24" s="19">
        <f t="shared" si="3"/>
        <v>0</v>
      </c>
      <c r="E24" s="20">
        <f t="shared" si="1"/>
        <v>62.21160364233689</v>
      </c>
      <c r="F24" s="27">
        <f t="shared" si="20"/>
        <v>130.51655916690686</v>
      </c>
      <c r="G24" s="19">
        <f t="shared" si="4"/>
        <v>74836.35399926739</v>
      </c>
      <c r="H24" s="20">
        <f t="shared" si="5"/>
        <v>41.159994699597064</v>
      </c>
      <c r="I24" s="27">
        <f t="shared" si="6"/>
        <v>85.856282241220626</v>
      </c>
      <c r="J24" s="19">
        <f t="shared" si="7"/>
        <v>221529.51528485905</v>
      </c>
      <c r="K24" s="20">
        <f t="shared" si="8"/>
        <v>21.845271646145822</v>
      </c>
      <c r="L24" s="27">
        <f t="shared" si="9"/>
        <v>30.067370189445466</v>
      </c>
      <c r="M24" s="19">
        <f t="shared" si="10"/>
        <v>249982.98620851125</v>
      </c>
      <c r="N24" s="20">
        <f t="shared" si="11"/>
        <v>3.8790463377182784</v>
      </c>
      <c r="O24" s="27">
        <f t="shared" si="12"/>
        <v>316.07440275212258</v>
      </c>
      <c r="P24" s="19">
        <f t="shared" si="13"/>
        <v>56635.188777597701</v>
      </c>
      <c r="Q24" s="23">
        <f t="shared" si="14"/>
        <v>107.60685867743561</v>
      </c>
      <c r="R24" s="27">
        <f t="shared" si="15"/>
        <v>263.88752282053207</v>
      </c>
      <c r="S24" s="19">
        <f t="shared" si="16"/>
        <v>0</v>
      </c>
      <c r="T24" s="23">
        <f t="shared" si="17"/>
        <v>0</v>
      </c>
      <c r="U24" s="49">
        <f t="shared" si="18"/>
        <v>0</v>
      </c>
      <c r="V24" s="54">
        <v>0.66666666666666663</v>
      </c>
      <c r="W24" s="13">
        <f t="shared" si="21"/>
        <v>602984.04427023546</v>
      </c>
      <c r="X24" s="25">
        <f t="shared" si="22"/>
        <v>236.70277500323365</v>
      </c>
    </row>
    <row r="25" spans="1:24" x14ac:dyDescent="0.2">
      <c r="A25" s="10">
        <v>22</v>
      </c>
      <c r="B25" s="15">
        <f t="shared" si="2"/>
        <v>736.11247717946856</v>
      </c>
      <c r="C25" s="27">
        <f t="shared" si="19"/>
        <v>159.71003380339116</v>
      </c>
      <c r="D25" s="19">
        <f t="shared" si="3"/>
        <v>0</v>
      </c>
      <c r="E25" s="20">
        <f t="shared" si="1"/>
        <v>111.13529194359209</v>
      </c>
      <c r="F25" s="27">
        <f t="shared" si="20"/>
        <v>129.41591098725141</v>
      </c>
      <c r="G25" s="19">
        <f t="shared" si="4"/>
        <v>144087.87933682071</v>
      </c>
      <c r="H25" s="20">
        <f t="shared" si="5"/>
        <v>79.248333635251385</v>
      </c>
      <c r="I25" s="27">
        <f t="shared" si="6"/>
        <v>85.34447116509692</v>
      </c>
      <c r="J25" s="19">
        <f t="shared" si="7"/>
        <v>427590.13913139974</v>
      </c>
      <c r="K25" s="20">
        <f t="shared" si="8"/>
        <v>42.165138719901911</v>
      </c>
      <c r="L25" s="27">
        <f t="shared" si="9"/>
        <v>29.648106059203556</v>
      </c>
      <c r="M25" s="19">
        <f t="shared" si="10"/>
        <v>478635.30913325492</v>
      </c>
      <c r="N25" s="20">
        <f t="shared" si="11"/>
        <v>7.4270996244815422</v>
      </c>
      <c r="O25" s="27">
        <f t="shared" si="12"/>
        <v>318.46363857927503</v>
      </c>
      <c r="P25" s="19">
        <f t="shared" si="13"/>
        <v>110802.52318553712</v>
      </c>
      <c r="Q25" s="23">
        <f t="shared" si="14"/>
        <v>210.52479405252055</v>
      </c>
      <c r="R25" s="27">
        <f t="shared" si="15"/>
        <v>277.4178394057825</v>
      </c>
      <c r="S25" s="19">
        <f t="shared" si="16"/>
        <v>0</v>
      </c>
      <c r="T25" s="23">
        <f t="shared" si="17"/>
        <v>0</v>
      </c>
      <c r="U25" s="49">
        <f t="shared" si="18"/>
        <v>0</v>
      </c>
      <c r="V25" s="54">
        <v>1.3333333333333333</v>
      </c>
      <c r="W25" s="13">
        <f t="shared" si="21"/>
        <v>1161115.8507870126</v>
      </c>
      <c r="X25" s="25">
        <f t="shared" si="22"/>
        <v>450.50065797574746</v>
      </c>
    </row>
    <row r="26" spans="1:24" x14ac:dyDescent="0.2">
      <c r="A26" s="10">
        <v>23</v>
      </c>
      <c r="B26" s="15">
        <f t="shared" si="2"/>
        <v>722.58216059421807</v>
      </c>
      <c r="C26" s="27">
        <f t="shared" si="19"/>
        <v>146.93323109911987</v>
      </c>
      <c r="D26" s="19">
        <f t="shared" si="3"/>
        <v>0</v>
      </c>
      <c r="E26" s="20">
        <f t="shared" si="1"/>
        <v>49.633237178691623</v>
      </c>
      <c r="F26" s="27">
        <f t="shared" si="20"/>
        <v>128.21943124806532</v>
      </c>
      <c r="G26" s="19">
        <f t="shared" si="4"/>
        <v>69298.909655192794</v>
      </c>
      <c r="H26" s="20">
        <f t="shared" si="5"/>
        <v>38.114400310356039</v>
      </c>
      <c r="I26" s="27">
        <f t="shared" si="6"/>
        <v>84.748061705775044</v>
      </c>
      <c r="J26" s="19">
        <f t="shared" si="7"/>
        <v>206117.48909628869</v>
      </c>
      <c r="K26" s="20">
        <f t="shared" si="8"/>
        <v>20.325474619217356</v>
      </c>
      <c r="L26" s="27">
        <f t="shared" si="9"/>
        <v>29.222824042400227</v>
      </c>
      <c r="M26" s="19">
        <f t="shared" si="10"/>
        <v>229014.37356523494</v>
      </c>
      <c r="N26" s="20">
        <f t="shared" si="11"/>
        <v>3.5536713139433007</v>
      </c>
      <c r="O26" s="27">
        <f t="shared" si="12"/>
        <v>320.11696477221597</v>
      </c>
      <c r="P26" s="19">
        <f t="shared" si="13"/>
        <v>54066.874860813696</v>
      </c>
      <c r="Q26" s="23">
        <f t="shared" si="14"/>
        <v>102.727062235546</v>
      </c>
      <c r="R26" s="27">
        <f t="shared" si="15"/>
        <v>290.75948713242411</v>
      </c>
      <c r="S26" s="19">
        <f t="shared" si="16"/>
        <v>0</v>
      </c>
      <c r="T26" s="23">
        <f t="shared" si="17"/>
        <v>0</v>
      </c>
      <c r="U26" s="49">
        <f t="shared" si="18"/>
        <v>0</v>
      </c>
      <c r="V26" s="54">
        <v>0.66666666666666663</v>
      </c>
      <c r="W26" s="13">
        <f t="shared" si="21"/>
        <v>558497.6471775301</v>
      </c>
      <c r="X26" s="25">
        <f t="shared" si="22"/>
        <v>214.35384565775433</v>
      </c>
    </row>
    <row r="27" spans="1:24" x14ac:dyDescent="0.2">
      <c r="A27" s="10">
        <v>24</v>
      </c>
      <c r="B27" s="15">
        <f t="shared" si="2"/>
        <v>709.2405128675764</v>
      </c>
      <c r="C27" s="27">
        <f t="shared" si="19"/>
        <v>135.17857261119028</v>
      </c>
      <c r="D27" s="19">
        <f t="shared" si="3"/>
        <v>0</v>
      </c>
      <c r="E27" s="20">
        <f t="shared" si="1"/>
        <v>88.665200396886007</v>
      </c>
      <c r="F27" s="27">
        <f t="shared" si="20"/>
        <v>126.9383914287088</v>
      </c>
      <c r="G27" s="19">
        <f t="shared" si="4"/>
        <v>133216.59131829732</v>
      </c>
      <c r="H27" s="20">
        <f t="shared" si="5"/>
        <v>73.269125225063533</v>
      </c>
      <c r="I27" s="27">
        <f t="shared" si="6"/>
        <v>84.076434210984772</v>
      </c>
      <c r="J27" s="19">
        <f t="shared" si="7"/>
        <v>397056.33042732178</v>
      </c>
      <c r="K27" s="20">
        <f t="shared" si="8"/>
        <v>39.154165917138677</v>
      </c>
      <c r="L27" s="27">
        <f t="shared" si="9"/>
        <v>28.792953588057568</v>
      </c>
      <c r="M27" s="19">
        <f t="shared" si="10"/>
        <v>438146.70072093233</v>
      </c>
      <c r="N27" s="20">
        <f t="shared" si="11"/>
        <v>6.7988281146351559</v>
      </c>
      <c r="O27" s="27">
        <f t="shared" si="12"/>
        <v>321.10389020955489</v>
      </c>
      <c r="P27" s="19">
        <f t="shared" si="13"/>
        <v>105307.89097595862</v>
      </c>
      <c r="Q27" s="23">
        <f t="shared" si="14"/>
        <v>200.0849928543214</v>
      </c>
      <c r="R27" s="27">
        <f t="shared" si="15"/>
        <v>303.90975795150422</v>
      </c>
      <c r="S27" s="19">
        <f t="shared" si="16"/>
        <v>0</v>
      </c>
      <c r="T27" s="23">
        <f t="shared" si="17"/>
        <v>0</v>
      </c>
      <c r="U27" s="49">
        <f t="shared" si="18"/>
        <v>0</v>
      </c>
      <c r="V27" s="54">
        <v>1.3333333333333333</v>
      </c>
      <c r="W27" s="13">
        <f t="shared" si="21"/>
        <v>1073727.51344251</v>
      </c>
      <c r="X27" s="25">
        <f t="shared" si="22"/>
        <v>407.97231250804475</v>
      </c>
    </row>
    <row r="28" spans="1:24" x14ac:dyDescent="0.2">
      <c r="A28" s="10">
        <v>25</v>
      </c>
      <c r="B28" s="15">
        <f t="shared" si="2"/>
        <v>696.09024204849629</v>
      </c>
      <c r="C28" s="27">
        <f t="shared" si="19"/>
        <v>124.36428680229506</v>
      </c>
      <c r="D28" s="19">
        <f t="shared" si="3"/>
        <v>0</v>
      </c>
      <c r="E28" s="20">
        <f t="shared" si="1"/>
        <v>39.598050662686958</v>
      </c>
      <c r="F28" s="27">
        <f t="shared" si="20"/>
        <v>125.58309379072494</v>
      </c>
      <c r="G28" s="19">
        <f t="shared" si="4"/>
        <v>63977.797332863549</v>
      </c>
      <c r="H28" s="20">
        <f t="shared" si="5"/>
        <v>35.187788533074951</v>
      </c>
      <c r="I28" s="27">
        <f t="shared" si="6"/>
        <v>83.338113311566175</v>
      </c>
      <c r="J28" s="19">
        <f t="shared" si="7"/>
        <v>191053.18583694362</v>
      </c>
      <c r="K28" s="20">
        <f t="shared" si="8"/>
        <v>18.839966936698609</v>
      </c>
      <c r="L28" s="27">
        <f t="shared" si="9"/>
        <v>28.359727651788404</v>
      </c>
      <c r="M28" s="19">
        <f t="shared" si="10"/>
        <v>209492.34784421488</v>
      </c>
      <c r="N28" s="20">
        <f t="shared" si="11"/>
        <v>3.2507433286171272</v>
      </c>
      <c r="O28" s="27">
        <f t="shared" si="12"/>
        <v>321.48819137749581</v>
      </c>
      <c r="P28" s="19">
        <f t="shared" si="13"/>
        <v>51181.51688458342</v>
      </c>
      <c r="Q28" s="23">
        <f t="shared" si="14"/>
        <v>97.244882080708493</v>
      </c>
      <c r="R28" s="27">
        <f t="shared" si="15"/>
        <v>316.86658706613014</v>
      </c>
      <c r="S28" s="19">
        <f t="shared" si="16"/>
        <v>0</v>
      </c>
      <c r="T28" s="23">
        <f t="shared" si="17"/>
        <v>0</v>
      </c>
      <c r="U28" s="49">
        <f t="shared" si="18"/>
        <v>0</v>
      </c>
      <c r="V28" s="54">
        <v>0.66666666666666663</v>
      </c>
      <c r="W28" s="13">
        <f t="shared" si="21"/>
        <v>515704.84789860545</v>
      </c>
      <c r="X28" s="25">
        <f t="shared" si="22"/>
        <v>194.12143154178614</v>
      </c>
    </row>
    <row r="29" spans="1:24" x14ac:dyDescent="0.2">
      <c r="A29" s="10">
        <v>26</v>
      </c>
      <c r="B29" s="15">
        <f t="shared" si="2"/>
        <v>683.13341293387043</v>
      </c>
      <c r="C29" s="27">
        <f t="shared" si="19"/>
        <v>114.41514385811145</v>
      </c>
      <c r="D29" s="19">
        <f t="shared" si="3"/>
        <v>0</v>
      </c>
      <c r="E29" s="20">
        <f t="shared" si="1"/>
        <v>70.738265261499009</v>
      </c>
      <c r="F29" s="27">
        <f t="shared" si="20"/>
        <v>124.16295010741386</v>
      </c>
      <c r="G29" s="19">
        <f t="shared" si="4"/>
        <v>122823.90465710484</v>
      </c>
      <c r="H29" s="20">
        <f t="shared" si="5"/>
        <v>67.55314756140767</v>
      </c>
      <c r="I29" s="27">
        <f t="shared" si="6"/>
        <v>82.540859053522325</v>
      </c>
      <c r="J29" s="19">
        <f t="shared" si="7"/>
        <v>367428.1069570852</v>
      </c>
      <c r="K29" s="20">
        <f t="shared" si="8"/>
        <v>36.232493880490345</v>
      </c>
      <c r="L29" s="27">
        <f t="shared" si="9"/>
        <v>27.924223690652077</v>
      </c>
      <c r="M29" s="19">
        <f t="shared" si="10"/>
        <v>400534.55306868651</v>
      </c>
      <c r="N29" s="20">
        <f t="shared" si="11"/>
        <v>6.2151913407209971</v>
      </c>
      <c r="O29" s="27">
        <f t="shared" si="12"/>
        <v>321.32835878086593</v>
      </c>
      <c r="P29" s="19">
        <f t="shared" si="13"/>
        <v>99332.177162103719</v>
      </c>
      <c r="Q29" s="23">
        <f t="shared" si="14"/>
        <v>188.73113660799706</v>
      </c>
      <c r="R29" s="27">
        <f t="shared" si="15"/>
        <v>329.62846450943493</v>
      </c>
      <c r="S29" s="19">
        <f t="shared" si="16"/>
        <v>0</v>
      </c>
      <c r="T29" s="23">
        <f t="shared" si="17"/>
        <v>0</v>
      </c>
      <c r="U29" s="49">
        <f t="shared" si="18"/>
        <v>0</v>
      </c>
      <c r="V29" s="54">
        <v>1.3333333333333333</v>
      </c>
      <c r="W29" s="13">
        <f t="shared" si="21"/>
        <v>990118.74184498028</v>
      </c>
      <c r="X29" s="25">
        <f t="shared" si="22"/>
        <v>369.4702346521151</v>
      </c>
    </row>
    <row r="30" spans="1:24" x14ac:dyDescent="0.2">
      <c r="A30" s="10">
        <v>27</v>
      </c>
      <c r="B30" s="15">
        <f t="shared" si="2"/>
        <v>670.37153549056563</v>
      </c>
      <c r="C30" s="27">
        <f t="shared" si="19"/>
        <v>105.26193234946254</v>
      </c>
      <c r="D30" s="19">
        <f t="shared" si="3"/>
        <v>0</v>
      </c>
      <c r="E30" s="20">
        <f t="shared" si="1"/>
        <v>31.591846621640347</v>
      </c>
      <c r="F30" s="27">
        <f t="shared" si="20"/>
        <v>122.6865535934873</v>
      </c>
      <c r="G30" s="19">
        <f t="shared" si="4"/>
        <v>58914.286631872172</v>
      </c>
      <c r="H30" s="20">
        <f t="shared" si="5"/>
        <v>32.402857647529693</v>
      </c>
      <c r="I30" s="27">
        <f t="shared" si="6"/>
        <v>81.691742443592915</v>
      </c>
      <c r="J30" s="19">
        <f t="shared" si="7"/>
        <v>176528.2962937087</v>
      </c>
      <c r="K30" s="20">
        <f t="shared" si="8"/>
        <v>17.407651440074051</v>
      </c>
      <c r="L30" s="27">
        <f t="shared" si="9"/>
        <v>27.487392141935501</v>
      </c>
      <c r="M30" s="19">
        <f t="shared" si="10"/>
        <v>191392.62416064832</v>
      </c>
      <c r="N30" s="20">
        <f t="shared" si="11"/>
        <v>2.9698855473204051</v>
      </c>
      <c r="O30" s="27">
        <f t="shared" si="12"/>
        <v>320.67801430129396</v>
      </c>
      <c r="P30" s="19">
        <f t="shared" si="13"/>
        <v>48121.910821022437</v>
      </c>
      <c r="Q30" s="23">
        <f t="shared" si="14"/>
        <v>91.431630559942633</v>
      </c>
      <c r="R30" s="27">
        <f t="shared" si="15"/>
        <v>342.19436517022837</v>
      </c>
      <c r="S30" s="19">
        <f t="shared" si="16"/>
        <v>0</v>
      </c>
      <c r="T30" s="23">
        <f t="shared" si="17"/>
        <v>0</v>
      </c>
      <c r="U30" s="49">
        <f t="shared" si="18"/>
        <v>0</v>
      </c>
      <c r="V30" s="54">
        <v>0.66666666666666663</v>
      </c>
      <c r="W30" s="13">
        <f t="shared" si="21"/>
        <v>474957.1179072517</v>
      </c>
      <c r="X30" s="25">
        <f t="shared" si="22"/>
        <v>175.80387181650713</v>
      </c>
    </row>
    <row r="31" spans="1:24" x14ac:dyDescent="0.2">
      <c r="A31" s="10">
        <v>28</v>
      </c>
      <c r="B31" s="15">
        <f t="shared" si="2"/>
        <v>657.8056348297722</v>
      </c>
      <c r="C31" s="27">
        <f t="shared" si="19"/>
        <v>96.840977761505542</v>
      </c>
      <c r="D31" s="19">
        <f t="shared" si="3"/>
        <v>0</v>
      </c>
      <c r="E31" s="20">
        <f t="shared" si="1"/>
        <v>56.435920178464308</v>
      </c>
      <c r="F31" s="27">
        <f t="shared" si="20"/>
        <v>121.16174500554891</v>
      </c>
      <c r="G31" s="19">
        <f t="shared" si="4"/>
        <v>112974.89517970846</v>
      </c>
      <c r="H31" s="20">
        <f t="shared" si="5"/>
        <v>62.13619234883965</v>
      </c>
      <c r="I31" s="27">
        <f t="shared" si="6"/>
        <v>80.797209794655217</v>
      </c>
      <c r="J31" s="19">
        <f t="shared" si="7"/>
        <v>339019.98837386502</v>
      </c>
      <c r="K31" s="20">
        <f t="shared" si="8"/>
        <v>33.431137742422806</v>
      </c>
      <c r="L31" s="27">
        <f t="shared" si="9"/>
        <v>27.050076761001314</v>
      </c>
      <c r="M31" s="19">
        <f t="shared" si="10"/>
        <v>365723.5541200724</v>
      </c>
      <c r="N31" s="20">
        <f t="shared" si="11"/>
        <v>5.6750206673804326</v>
      </c>
      <c r="O31" s="27">
        <f t="shared" si="12"/>
        <v>319.58629904319025</v>
      </c>
      <c r="P31" s="19">
        <f t="shared" si="13"/>
        <v>93122.494629033521</v>
      </c>
      <c r="Q31" s="23">
        <f t="shared" si="14"/>
        <v>176.93273979516368</v>
      </c>
      <c r="R31" s="27">
        <f t="shared" si="15"/>
        <v>354.56369163409931</v>
      </c>
      <c r="S31" s="19">
        <f t="shared" si="16"/>
        <v>0</v>
      </c>
      <c r="T31" s="23">
        <f t="shared" si="17"/>
        <v>0</v>
      </c>
      <c r="U31" s="49">
        <f t="shared" si="18"/>
        <v>0</v>
      </c>
      <c r="V31" s="54">
        <v>1.3333333333333333</v>
      </c>
      <c r="W31" s="13">
        <f t="shared" si="21"/>
        <v>910840.9323026794</v>
      </c>
      <c r="X31" s="25">
        <f t="shared" si="22"/>
        <v>334.61101073227087</v>
      </c>
    </row>
    <row r="32" spans="1:24" x14ac:dyDescent="0.2">
      <c r="A32" s="10">
        <v>29</v>
      </c>
      <c r="B32" s="15">
        <f t="shared" si="2"/>
        <v>645.43630836590125</v>
      </c>
      <c r="C32" s="27">
        <f t="shared" si="19"/>
        <v>89.093699540585106</v>
      </c>
      <c r="D32" s="19">
        <f t="shared" si="3"/>
        <v>0</v>
      </c>
      <c r="E32" s="20">
        <f t="shared" si="1"/>
        <v>25.20439153601319</v>
      </c>
      <c r="F32" s="27">
        <f t="shared" si="20"/>
        <v>119.59567353573387</v>
      </c>
      <c r="G32" s="19">
        <f t="shared" si="4"/>
        <v>54133.321612664076</v>
      </c>
      <c r="H32" s="20">
        <f t="shared" si="5"/>
        <v>29.773326886965247</v>
      </c>
      <c r="I32" s="27">
        <f t="shared" si="6"/>
        <v>79.86313872278771</v>
      </c>
      <c r="J32" s="19">
        <f t="shared" si="7"/>
        <v>162670.2355151317</v>
      </c>
      <c r="K32" s="20">
        <f t="shared" si="8"/>
        <v>16.041092668853263</v>
      </c>
      <c r="L32" s="27">
        <f t="shared" si="9"/>
        <v>26.613029627313995</v>
      </c>
      <c r="M32" s="19">
        <f t="shared" si="10"/>
        <v>174667.2677615573</v>
      </c>
      <c r="N32" s="20">
        <f t="shared" si="11"/>
        <v>2.7103541549207169</v>
      </c>
      <c r="O32" s="27">
        <f t="shared" si="12"/>
        <v>318.09823239702996</v>
      </c>
      <c r="P32" s="19">
        <f t="shared" si="13"/>
        <v>44994.609257393313</v>
      </c>
      <c r="Q32" s="23">
        <f t="shared" si="14"/>
        <v>85.489757589047287</v>
      </c>
      <c r="R32" s="27">
        <f t="shared" si="15"/>
        <v>366.73622617654991</v>
      </c>
      <c r="S32" s="19">
        <f t="shared" si="16"/>
        <v>0</v>
      </c>
      <c r="T32" s="23">
        <f t="shared" si="17"/>
        <v>0</v>
      </c>
      <c r="U32" s="49">
        <f t="shared" si="18"/>
        <v>0</v>
      </c>
      <c r="V32" s="54">
        <v>0.66666666666666663</v>
      </c>
      <c r="W32" s="13">
        <f t="shared" si="21"/>
        <v>436465.43414674641</v>
      </c>
      <c r="X32" s="25">
        <f t="shared" si="22"/>
        <v>159.21892283579973</v>
      </c>
    </row>
    <row r="33" spans="1:24" ht="16" thickBot="1" x14ac:dyDescent="0.25">
      <c r="A33" s="11">
        <v>30</v>
      </c>
      <c r="B33" s="16">
        <f t="shared" si="2"/>
        <v>633.26377382345072</v>
      </c>
      <c r="C33" s="28">
        <f t="shared" si="19"/>
        <v>81.966203577338305</v>
      </c>
      <c r="D33" s="21">
        <f t="shared" si="3"/>
        <v>0</v>
      </c>
      <c r="E33" s="22">
        <f t="shared" si="1"/>
        <v>11.256330200549581</v>
      </c>
      <c r="F33" s="28">
        <f t="shared" si="20"/>
        <v>117.99485295109865</v>
      </c>
      <c r="G33" s="21">
        <f t="shared" si="4"/>
        <v>25926.56912366884</v>
      </c>
      <c r="H33" s="22">
        <f t="shared" si="5"/>
        <v>14.259613018017863</v>
      </c>
      <c r="I33" s="28">
        <f t="shared" si="6"/>
        <v>78.894887679274916</v>
      </c>
      <c r="J33" s="21">
        <f t="shared" si="7"/>
        <v>78008.757881654208</v>
      </c>
      <c r="K33" s="22">
        <f t="shared" si="8"/>
        <v>7.692530291107567</v>
      </c>
      <c r="L33" s="28">
        <f t="shared" si="9"/>
        <v>26.176922617481004</v>
      </c>
      <c r="M33" s="21">
        <f t="shared" si="10"/>
        <v>83400.485379990641</v>
      </c>
      <c r="N33" s="22">
        <f t="shared" si="11"/>
        <v>1.2941454627929581</v>
      </c>
      <c r="O33" s="28">
        <f t="shared" si="12"/>
        <v>316.25504366596647</v>
      </c>
      <c r="P33" s="21">
        <f t="shared" si="13"/>
        <v>21715.481770083861</v>
      </c>
      <c r="Q33" s="24">
        <f t="shared" si="14"/>
        <v>41.259415363159334</v>
      </c>
      <c r="R33" s="28">
        <f t="shared" si="15"/>
        <v>378.71208950884119</v>
      </c>
      <c r="S33" s="21">
        <f t="shared" si="16"/>
        <v>0</v>
      </c>
      <c r="T33" s="24">
        <f t="shared" si="17"/>
        <v>0</v>
      </c>
      <c r="U33" s="49">
        <f t="shared" si="18"/>
        <v>0</v>
      </c>
      <c r="V33" s="54">
        <v>0.33333333333333331</v>
      </c>
      <c r="W33" s="13">
        <f t="shared" si="21"/>
        <v>209051.29415539754</v>
      </c>
      <c r="X33" s="25">
        <f t="shared" si="22"/>
        <v>75.762034335627305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28610742.461703055</v>
      </c>
      <c r="X34" s="31">
        <f>SUM(X3:X33)</f>
        <v>15290.818231828654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9E20-C0FA-194C-8EFA-98BEDE732E0E}">
  <dimension ref="A1:Y113"/>
  <sheetViews>
    <sheetView workbookViewId="0">
      <selection activeCell="W39" sqref="W39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22.83203125" style="1" bestFit="1" customWidth="1"/>
    <col min="22" max="22" width="7.164062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2001" width="8.83203125" style="1"/>
    <col min="2002" max="2002" width="2.33203125" style="1" customWidth="1"/>
    <col min="2003" max="16384" width="8.83203125" style="1"/>
  </cols>
  <sheetData>
    <row r="1" spans="1:25" x14ac:dyDescent="0.2">
      <c r="C1" s="213" t="s">
        <v>7</v>
      </c>
      <c r="D1" s="214"/>
      <c r="E1" s="215"/>
      <c r="F1" s="216" t="s">
        <v>8</v>
      </c>
      <c r="G1" s="217"/>
      <c r="H1" s="218"/>
      <c r="I1" s="219" t="s">
        <v>9</v>
      </c>
      <c r="J1" s="220"/>
      <c r="K1" s="221"/>
      <c r="L1" s="222" t="s">
        <v>10</v>
      </c>
      <c r="M1" s="223"/>
      <c r="N1" s="224"/>
      <c r="O1" s="225" t="s">
        <v>11</v>
      </c>
      <c r="P1" s="226"/>
      <c r="Q1" s="227"/>
      <c r="R1" s="210" t="s">
        <v>255</v>
      </c>
      <c r="S1" s="211"/>
      <c r="T1" s="212"/>
      <c r="U1" s="165" t="s">
        <v>256</v>
      </c>
    </row>
    <row r="2" spans="1:25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7"/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>SUM(C4,F4,I4,L4,O4)</f>
        <v>995.78010119984822</v>
      </c>
      <c r="C4" s="27">
        <f>(1-SUM(pHealthyStage1,pHealthyStage2,pHealthyStage3))*C3*(1-'Life Table - Male'!B48)</f>
        <v>916.11769310386035</v>
      </c>
      <c r="D4" s="19">
        <f t="shared" ref="D4:D33" si="2">C4*0*W4/(1+discount_rate)^A4</f>
        <v>0</v>
      </c>
      <c r="E4" s="20">
        <f t="shared" si="1"/>
        <v>592.95643566592901</v>
      </c>
      <c r="F4" s="27">
        <f>SUM(pHealthyStage1*C3,(1-SUM(pStage1Remission,pStage1Stage2))*F3,pStage2Stage1*I3,pRemissionStage1_trtA*O3)*(1-'Life Table - Male'!B48)</f>
        <v>49.789005059992405</v>
      </c>
      <c r="G4" s="19">
        <f t="shared" ref="G4:G33" si="3">F4*SUM(nVisitsStage1*cVisit,cTreatmentStage1)*W4/(1+discount_rate)^A4</f>
        <v>51561.429188341644</v>
      </c>
      <c r="H4" s="20">
        <f t="shared" ref="H4:H33" si="4">F4*uStage1*W4/(1+discount_rate)^A4</f>
        <v>28.358786053587906</v>
      </c>
      <c r="I4" s="27">
        <f>SUM(pHealthyStage2*C3,pStage1Stage2*F3,(1-SUM(pStage2Remission, pStage2Stage1, pStage2Stage3))*I3,pStage3Stage2*L3,pRemissionStage2_trtA*O3)*(1-'Life Table - Male'!B48)</f>
        <v>19.915602023996964</v>
      </c>
      <c r="J4" s="19">
        <f t="shared" ref="J4:J33" si="5">I4*SUM(nVisitsStage2*cVisit,cTreatmentStage2)*W4/(1+discount_rate)^A4</f>
        <v>92810.57253901496</v>
      </c>
      <c r="K4" s="20">
        <f t="shared" ref="K4:K33" si="6">I4*uStage2*W4/(1+discount_rate)^A4</f>
        <v>9.1521536809306419</v>
      </c>
      <c r="L4" s="27">
        <f>SUM(pHealthyStage3*C3,pStage2Stage3*I3,(1-SUM(pStage3Death, pStage3Stage2))*L3)*(1-'Life Table - Male'!B48)</f>
        <v>9.9578010119984821</v>
      </c>
      <c r="M4" s="19">
        <f t="shared" ref="M4:M33" si="7">L4*SUM(nVisitsStage3*cVisit,cTreatmentStage3)*W4/(1+discount_rate)^A4</f>
        <v>149528.14464619081</v>
      </c>
      <c r="N4" s="20">
        <f t="shared" ref="N4:N33" si="8">L4*uStage3*W4/(1+discount_rate)^A4</f>
        <v>2.3202643134753744</v>
      </c>
      <c r="O4" s="27">
        <f>SUM(pStage1Remission*F3,pStage2Remission*I3,(1-SUM(pRemissionStage1_trtA, pRemissionStage2_trtA))*O3)*(1-'Life Table - Male'!B48)</f>
        <v>0</v>
      </c>
      <c r="P4" s="19">
        <f t="shared" ref="P4:P33" si="9">O4*SUM(nVisitsRemission*cVisit, cTrtA)*W4/(1+discount_rate)^A4</f>
        <v>0</v>
      </c>
      <c r="Q4" s="20">
        <f t="shared" ref="Q4:Q33" si="10">O4*uRemission*W4/(1+discount_rate)^A4</f>
        <v>0</v>
      </c>
      <c r="R4" s="27">
        <f>SUM(pStage3Death*L3*(1-'Life Table - Male'!B48),R3)</f>
        <v>0</v>
      </c>
      <c r="S4" s="19">
        <f t="shared" ref="S4:S33" si="11">R4*0*W4/(1+discount_rate)^A4</f>
        <v>0</v>
      </c>
      <c r="T4" s="23">
        <f t="shared" ref="T4:T33" si="12">R4*0*W4/(1+discount_rate)^A4</f>
        <v>0</v>
      </c>
      <c r="U4" s="237">
        <f>SUM(B3*'Life Table - Male'!B48,U3)</f>
        <v>4.21989880015186</v>
      </c>
      <c r="V4" s="49">
        <f>SUM(C4,F4,I4,L4,O4,R4-R3,U4-U3)-B3</f>
        <v>0</v>
      </c>
      <c r="W4" s="54">
        <v>0.66666666666666663</v>
      </c>
      <c r="X4" s="13">
        <f>SUM(D4,G4,J4,M4,P4,S4)</f>
        <v>293900.14637354738</v>
      </c>
      <c r="Y4" s="25">
        <f>SUM(E4,H4,K4,N4,Q4,T4)</f>
        <v>632.78763971392289</v>
      </c>
    </row>
    <row r="5" spans="1:25" x14ac:dyDescent="0.2">
      <c r="A5" s="10">
        <v>2</v>
      </c>
      <c r="B5" s="15">
        <f t="shared" ref="B5:B33" si="13">SUM(C5,F5,I5,L5,O5)</f>
        <v>986.83511862817306</v>
      </c>
      <c r="C5" s="27">
        <f>(1-SUM(pHealthyStage1,pHealthyStage2,pHealthyStage3))*C4*(1-'Life Table - Male'!B49)</f>
        <v>839.03289242278834</v>
      </c>
      <c r="D5" s="19">
        <f t="shared" si="2"/>
        <v>0</v>
      </c>
      <c r="E5" s="20">
        <f t="shared" si="1"/>
        <v>1054.4919627018421</v>
      </c>
      <c r="F5" s="27">
        <f>SUM(pHealthyStage1*C4,(1-SUM(pStage1Remission,pStage1Stage2))*F4,pStage2Stage1*I4,pRemissionStage1_trtA*O4)*(1-'Life Table - Male'!B49)</f>
        <v>78.808028057197134</v>
      </c>
      <c r="G5" s="19">
        <f t="shared" si="3"/>
        <v>158472.79968770593</v>
      </c>
      <c r="H5" s="20">
        <f t="shared" si="4"/>
        <v>87.160039828238254</v>
      </c>
      <c r="I5" s="27">
        <f>SUM(pHealthyStage2*C4,pStage1Stage2*F4,(1-SUM(pStage2Remission, pStage2Stage1, pStage2Stage3))*I4,pStage3Stage2*L4,pRemissionStage2_trtA*O4)*(1-'Life Table - Male'!B49)</f>
        <v>35.587524619539344</v>
      </c>
      <c r="J5" s="19">
        <f t="shared" si="5"/>
        <v>322028.68917671568</v>
      </c>
      <c r="K5" s="20">
        <f t="shared" si="6"/>
        <v>31.755606849370576</v>
      </c>
      <c r="L5" s="27">
        <f>SUM(pHealthyStage3*C4,pStage2Stage3*I4,(1-SUM(pStage3Death, pStage3Stage2))*L4)*(1-'Life Table - Male'!B49)</f>
        <v>17.050290346965927</v>
      </c>
      <c r="M5" s="19">
        <f t="shared" si="7"/>
        <v>497146.11625300464</v>
      </c>
      <c r="N5" s="20">
        <f t="shared" si="8"/>
        <v>7.7143362866845546</v>
      </c>
      <c r="O5" s="27">
        <f>SUM(pStage1Remission*F4,pStage2Remission*I4,(1-SUM(pRemissionStage1_trtA, pRemissionStage2_trtA))*O4)*(1-'Life Table - Male'!B49)</f>
        <v>16.356383181682425</v>
      </c>
      <c r="P5" s="19">
        <f t="shared" si="9"/>
        <v>207621.792987077</v>
      </c>
      <c r="Q5" s="20">
        <f t="shared" si="10"/>
        <v>19.52878250868546</v>
      </c>
      <c r="R5" s="27">
        <f>SUM(pStage3Death*L4*(1-'Life Table - Male'!B49),R4)</f>
        <v>4.4608317768224799</v>
      </c>
      <c r="S5" s="19">
        <f t="shared" si="11"/>
        <v>0</v>
      </c>
      <c r="T5" s="23">
        <f t="shared" si="12"/>
        <v>0</v>
      </c>
      <c r="U5" s="237">
        <f>SUM(B4*'Life Table - Male'!B49,U4)</f>
        <v>8.704049595004502</v>
      </c>
      <c r="V5" s="49">
        <f t="shared" ref="V5:V33" si="14">SUM(C5,F5,I5,L5,O5,R5-R4,U5-U4)-B4</f>
        <v>0</v>
      </c>
      <c r="W5" s="54">
        <v>1.3333333333333333</v>
      </c>
      <c r="X5" s="13">
        <f t="shared" ref="X5:Y33" si="15">SUM(D5,G5,J5,M5,P5,S5)</f>
        <v>1185269.3981045033</v>
      </c>
      <c r="Y5" s="25">
        <f t="shared" si="15"/>
        <v>1200.6507281748211</v>
      </c>
    </row>
    <row r="6" spans="1:25" x14ac:dyDescent="0.2">
      <c r="A6" s="10">
        <v>3</v>
      </c>
      <c r="B6" s="15">
        <f t="shared" si="13"/>
        <v>974.44456533342884</v>
      </c>
      <c r="C6" s="27">
        <f>(1-SUM(pHealthyStage1,pHealthyStage2,pHealthyStage3))*C5*(1-'Life Table - Male'!B50)</f>
        <v>768.19094688017037</v>
      </c>
      <c r="D6" s="19">
        <f t="shared" si="2"/>
        <v>0</v>
      </c>
      <c r="E6" s="20">
        <f t="shared" si="1"/>
        <v>468.66902521866257</v>
      </c>
      <c r="F6" s="27">
        <f>SUM(pHealthyStage1*C5,(1-SUM(pStage1Remission,pStage1Stage2))*F5,pStage2Stage1*I5,pRemissionStage1_trtA*O5)*(1-'Life Table - Male'!B50)</f>
        <v>94.824260569216378</v>
      </c>
      <c r="G6" s="19">
        <f t="shared" si="3"/>
        <v>92562.806575198993</v>
      </c>
      <c r="H6" s="20">
        <f t="shared" si="4"/>
        <v>50.909543616359443</v>
      </c>
      <c r="I6" s="27">
        <f>SUM(pHealthyStage2*C5,pStage1Stage2*F5,(1-SUM(pStage2Remission, pStage2Stage1, pStage2Stage3))*I5,pStage3Stage2*L5,pRemissionStage2_trtA*O5)*(1-'Life Table - Male'!B50)</f>
        <v>46.803447713122488</v>
      </c>
      <c r="J6" s="19">
        <f t="shared" si="5"/>
        <v>205592.56705745164</v>
      </c>
      <c r="K6" s="20">
        <f t="shared" si="6"/>
        <v>20.273711473720923</v>
      </c>
      <c r="L6" s="27">
        <f>SUM(pHealthyStage3*C5,pStage2Stage3*I5,(1-SUM(pStage3Death, pStage3Stage2))*L5)*(1-'Life Table - Male'!B50)</f>
        <v>22.146377710344765</v>
      </c>
      <c r="M6" s="19">
        <f t="shared" si="7"/>
        <v>313464.06002597086</v>
      </c>
      <c r="N6" s="20">
        <f t="shared" si="8"/>
        <v>4.8640974831616157</v>
      </c>
      <c r="O6" s="27">
        <f>SUM(pStage1Remission*F5,pStage2Remission*I5,(1-SUM(pRemissionStage1_trtA, pRemissionStage2_trtA))*O5)*(1-'Life Table - Male'!B50)</f>
        <v>42.479532460574873</v>
      </c>
      <c r="P6" s="19">
        <f t="shared" si="9"/>
        <v>261756.91815174706</v>
      </c>
      <c r="Q6" s="20">
        <f t="shared" si="10"/>
        <v>24.620700222194031</v>
      </c>
      <c r="R6" s="27">
        <f>SUM(pStage3Death*L5*(1-'Life Table - Male'!B50),R5)</f>
        <v>12.096493208426047</v>
      </c>
      <c r="S6" s="19">
        <f t="shared" si="11"/>
        <v>0</v>
      </c>
      <c r="T6" s="23">
        <f t="shared" si="12"/>
        <v>0</v>
      </c>
      <c r="U6" s="237">
        <f>SUM(B5*'Life Table - Male'!B50,U5)</f>
        <v>13.458941458145318</v>
      </c>
      <c r="V6" s="49">
        <f t="shared" si="14"/>
        <v>0</v>
      </c>
      <c r="W6" s="54">
        <v>0.66666666666666663</v>
      </c>
      <c r="X6" s="13">
        <f t="shared" si="15"/>
        <v>873376.35181036859</v>
      </c>
      <c r="Y6" s="25">
        <f t="shared" si="15"/>
        <v>569.33707801409855</v>
      </c>
    </row>
    <row r="7" spans="1:25" x14ac:dyDescent="0.2">
      <c r="A7" s="10">
        <v>4</v>
      </c>
      <c r="B7" s="15">
        <f t="shared" si="13"/>
        <v>959.4948421618692</v>
      </c>
      <c r="C7" s="27">
        <f>(1-SUM(pHealthyStage1,pHealthyStage2,pHealthyStage3))*C6*(1-'Life Table - Male'!B51)</f>
        <v>703.08368083241612</v>
      </c>
      <c r="D7" s="19">
        <f t="shared" si="2"/>
        <v>0</v>
      </c>
      <c r="E7" s="20">
        <f t="shared" si="1"/>
        <v>832.90765869398649</v>
      </c>
      <c r="F7" s="27">
        <f>SUM(pHealthyStage1*C6,(1-SUM(pStage1Remission,pStage1Stage2))*F6,pStage2Stage1*I6,pRemissionStage1_trtA*O6)*(1-'Life Table - Male'!B51)</f>
        <v>102.70162215646117</v>
      </c>
      <c r="G7" s="19">
        <f t="shared" si="3"/>
        <v>194664.66365001959</v>
      </c>
      <c r="H7" s="20">
        <f t="shared" si="4"/>
        <v>107.0655650075108</v>
      </c>
      <c r="I7" s="27">
        <f>SUM(pHealthyStage2*C6,pStage1Stage2*F6,(1-SUM(pStage2Remission, pStage2Stage1, pStage2Stage3))*I6,pStage3Stage2*L6,pRemissionStage2_trtA*O6)*(1-'Life Table - Male'!B51)</f>
        <v>54.179008679423653</v>
      </c>
      <c r="J7" s="19">
        <f t="shared" si="5"/>
        <v>462118.5358135642</v>
      </c>
      <c r="K7" s="20">
        <f t="shared" si="6"/>
        <v>45.570022281615358</v>
      </c>
      <c r="L7" s="27">
        <f>SUM(pHealthyStage3*C6,pStage2Stage3*I6,(1-SUM(pStage3Death, pStage3Stage2))*L6)*(1-'Life Table - Male'!B51)</f>
        <v>25.642422405384369</v>
      </c>
      <c r="M7" s="19">
        <f t="shared" si="7"/>
        <v>704752.9017030882</v>
      </c>
      <c r="N7" s="20">
        <f t="shared" si="8"/>
        <v>10.935820888496195</v>
      </c>
      <c r="O7" s="27">
        <f>SUM(pStage1Remission*F6,pStage2Remission*I6,(1-SUM(pRemissionStage1_trtA, pRemissionStage2_trtA))*O6)*(1-'Life Table - Male'!B51)</f>
        <v>73.888108088183799</v>
      </c>
      <c r="P7" s="19">
        <f t="shared" si="9"/>
        <v>884068.17735545617</v>
      </c>
      <c r="Q7" s="20">
        <f t="shared" si="10"/>
        <v>83.154927573037952</v>
      </c>
      <c r="R7" s="27">
        <f>SUM(pStage3Death*L6*(1-'Life Table - Male'!B51),R6)</f>
        <v>22.010865479690565</v>
      </c>
      <c r="S7" s="19">
        <f t="shared" si="11"/>
        <v>0</v>
      </c>
      <c r="T7" s="23">
        <f t="shared" si="12"/>
        <v>0</v>
      </c>
      <c r="U7" s="237">
        <f>SUM(B6*'Life Table - Male'!B51,U6)</f>
        <v>18.494292358440504</v>
      </c>
      <c r="V7" s="49">
        <f t="shared" si="14"/>
        <v>0</v>
      </c>
      <c r="W7" s="54">
        <v>1.3333333333333333</v>
      </c>
      <c r="X7" s="13">
        <f t="shared" si="15"/>
        <v>2245604.2785221282</v>
      </c>
      <c r="Y7" s="25">
        <f t="shared" si="15"/>
        <v>1079.6339944446468</v>
      </c>
    </row>
    <row r="8" spans="1:25" x14ac:dyDescent="0.2">
      <c r="A8" s="10">
        <v>5</v>
      </c>
      <c r="B8" s="15">
        <f t="shared" si="13"/>
        <v>942.68949238002767</v>
      </c>
      <c r="C8" s="27">
        <f>(1-SUM(pHealthyStage1,pHealthyStage2,pHealthyStage3))*C7*(1-'Life Table - Male'!B52)</f>
        <v>643.24355751018345</v>
      </c>
      <c r="D8" s="19">
        <f t="shared" si="2"/>
        <v>0</v>
      </c>
      <c r="E8" s="20">
        <f t="shared" si="1"/>
        <v>369.91169547120296</v>
      </c>
      <c r="F8" s="27">
        <f>SUM(pHealthyStage1*C7,(1-SUM(pStage1Remission,pStage1Stage2))*F7,pStage2Stage1*I7,pRemissionStage1_trtA*O7)*(1-'Life Table - Male'!B52)</f>
        <v>105.50754156897995</v>
      </c>
      <c r="G8" s="19">
        <f t="shared" si="3"/>
        <v>97079.18098792473</v>
      </c>
      <c r="H8" s="20">
        <f t="shared" si="4"/>
        <v>53.39354954335861</v>
      </c>
      <c r="I8" s="27">
        <f>SUM(pHealthyStage2*C7,pStage1Stage2*F7,(1-SUM(pStage2Remission, pStage2Stage1, pStage2Stage3))*I7,pStage3Stage2*L7,pRemissionStage2_trtA*O7)*(1-'Life Table - Male'!B52)</f>
        <v>58.533251895566295</v>
      </c>
      <c r="J8" s="19">
        <f t="shared" si="5"/>
        <v>242358.22686569524</v>
      </c>
      <c r="K8" s="20">
        <f t="shared" si="6"/>
        <v>23.899214038144947</v>
      </c>
      <c r="L8" s="27">
        <f>SUM(pHealthyStage3*C7,pStage2Stage3*I7,(1-SUM(pStage3Death, pStage3Stage2))*L7)*(1-'Life Table - Male'!B52)</f>
        <v>27.823465739619579</v>
      </c>
      <c r="M8" s="19">
        <f t="shared" si="7"/>
        <v>371211.84683265211</v>
      </c>
      <c r="N8" s="20">
        <f t="shared" si="8"/>
        <v>5.7601838301618429</v>
      </c>
      <c r="O8" s="27">
        <f>SUM(pStage1Remission*F7,pStage2Remission*I7,(1-SUM(pRemissionStage1_trtA, pRemissionStage2_trtA))*O7)*(1-'Life Table - Male'!B52)</f>
        <v>107.58167566567842</v>
      </c>
      <c r="P8" s="19">
        <f t="shared" si="9"/>
        <v>624859.3830177472</v>
      </c>
      <c r="Q8" s="20">
        <f t="shared" si="10"/>
        <v>58.773902363055427</v>
      </c>
      <c r="R8" s="27">
        <f>SUM(pStage3Death*L7*(1-'Life Table - Male'!B52),R7)</f>
        <v>33.485851467660048</v>
      </c>
      <c r="S8" s="19">
        <f t="shared" si="11"/>
        <v>0</v>
      </c>
      <c r="T8" s="23">
        <f t="shared" si="12"/>
        <v>0</v>
      </c>
      <c r="U8" s="237">
        <f>SUM(B7*'Life Table - Male'!B52,U7)</f>
        <v>23.824656152312539</v>
      </c>
      <c r="V8" s="49">
        <f t="shared" si="14"/>
        <v>0</v>
      </c>
      <c r="W8" s="54">
        <v>0.66666666666666663</v>
      </c>
      <c r="X8" s="13">
        <f t="shared" si="15"/>
        <v>1335508.6377040192</v>
      </c>
      <c r="Y8" s="25">
        <f t="shared" si="15"/>
        <v>511.73854524592377</v>
      </c>
    </row>
    <row r="9" spans="1:25" x14ac:dyDescent="0.2">
      <c r="A9" s="10">
        <v>6</v>
      </c>
      <c r="B9" s="15">
        <f t="shared" si="13"/>
        <v>924.6380207683992</v>
      </c>
      <c r="C9" s="27">
        <f>(1-SUM(pHealthyStage1,pHealthyStage2,pHealthyStage3))*C8*(1-'Life Table - Male'!B53)</f>
        <v>588.26524366029503</v>
      </c>
      <c r="D9" s="19">
        <f t="shared" si="2"/>
        <v>0</v>
      </c>
      <c r="E9" s="20">
        <f t="shared" si="1"/>
        <v>656.88384042622806</v>
      </c>
      <c r="F9" s="27">
        <f>SUM(pHealthyStage1*C8,(1-SUM(pStage1Remission,pStage1Stage2))*F8,pStage2Stage1*I8,pRemissionStage1_trtA*O8)*(1-'Life Table - Male'!B53)</f>
        <v>105.19115353653683</v>
      </c>
      <c r="G9" s="19">
        <f t="shared" si="3"/>
        <v>187937.99472905113</v>
      </c>
      <c r="H9" s="20">
        <f t="shared" si="4"/>
        <v>103.36589710097812</v>
      </c>
      <c r="I9" s="27">
        <f>SUM(pHealthyStage2*C8,pStage1Stage2*F8,(1-SUM(pStage2Remission, pStage2Stage1, pStage2Stage3))*I8,pStage3Stage2*L8,pRemissionStage2_trtA*O8)*(1-'Life Table - Male'!B53)</f>
        <v>60.639836862438045</v>
      </c>
      <c r="J9" s="19">
        <f t="shared" si="5"/>
        <v>487535.12352150714</v>
      </c>
      <c r="K9" s="20">
        <f t="shared" si="6"/>
        <v>48.076380236148616</v>
      </c>
      <c r="L9" s="27">
        <f>SUM(pHealthyStage3*C8,pStage2Stage3*I8,(1-SUM(pStage3Death, pStage3Stage2))*L8)*(1-'Life Table - Male'!B53)</f>
        <v>28.950980002501851</v>
      </c>
      <c r="M9" s="19">
        <f t="shared" si="7"/>
        <v>750009.28966623952</v>
      </c>
      <c r="N9" s="20">
        <f t="shared" si="8"/>
        <v>11.638075184476131</v>
      </c>
      <c r="O9" s="27">
        <f>SUM(pStage1Remission*F8,pStage2Remission*I8,(1-SUM(pRemissionStage1_trtA, pRemissionStage2_trtA))*O8)*(1-'Life Table - Male'!B53)</f>
        <v>141.59080670662746</v>
      </c>
      <c r="P9" s="19">
        <f t="shared" si="9"/>
        <v>1596878.2963069102</v>
      </c>
      <c r="Q9" s="20">
        <f t="shared" si="10"/>
        <v>150.20142391005589</v>
      </c>
      <c r="R9" s="27">
        <f>SUM(pStage3Death*L8*(1-'Life Table - Male'!B53),R8)</f>
        <v>45.931962086260697</v>
      </c>
      <c r="S9" s="19">
        <f t="shared" si="11"/>
        <v>0</v>
      </c>
      <c r="T9" s="23">
        <f t="shared" si="12"/>
        <v>0</v>
      </c>
      <c r="U9" s="237">
        <f>SUM(B8*'Life Table - Male'!B53,U8)</f>
        <v>29.430017145340273</v>
      </c>
      <c r="V9" s="49">
        <f t="shared" si="14"/>
        <v>0</v>
      </c>
      <c r="W9" s="54">
        <v>1.3333333333333333</v>
      </c>
      <c r="X9" s="13">
        <f t="shared" si="15"/>
        <v>3022360.7042237082</v>
      </c>
      <c r="Y9" s="25">
        <f t="shared" si="15"/>
        <v>970.16561685788679</v>
      </c>
    </row>
    <row r="10" spans="1:25" x14ac:dyDescent="0.2">
      <c r="A10" s="10">
        <v>7</v>
      </c>
      <c r="B10" s="15">
        <f t="shared" si="13"/>
        <v>905.76837507105347</v>
      </c>
      <c r="C10" s="27">
        <f>(1-SUM(pHealthyStage1,pHealthyStage2,pHealthyStage3))*C9*(1-'Life Table - Male'!B54)</f>
        <v>537.73592507580793</v>
      </c>
      <c r="D10" s="19">
        <f t="shared" si="2"/>
        <v>0</v>
      </c>
      <c r="E10" s="20">
        <f t="shared" si="1"/>
        <v>291.48567734900342</v>
      </c>
      <c r="F10" s="27">
        <f>SUM(pHealthyStage1*C9,(1-SUM(pStage1Remission,pStage1Stage2))*F9,pStage2Stage1*I9,pRemissionStage1_trtA*O9)*(1-'Life Table - Male'!B54)</f>
        <v>102.98711009998658</v>
      </c>
      <c r="G10" s="19">
        <f t="shared" si="3"/>
        <v>89320.474666754628</v>
      </c>
      <c r="H10" s="20">
        <f t="shared" si="4"/>
        <v>49.126261066715038</v>
      </c>
      <c r="I10" s="27">
        <f>SUM(pHealthyStage2*C9,pStage1Stage2*F9,(1-SUM(pStage2Remission, pStage2Stage1, pStage2Stage3))*I9,pStage3Stage2*L9,pRemissionStage2_trtA*O9)*(1-'Life Table - Male'!B54)</f>
        <v>61.137476526176251</v>
      </c>
      <c r="J10" s="19">
        <f t="shared" si="5"/>
        <v>238609.74330425981</v>
      </c>
      <c r="K10" s="20">
        <f t="shared" si="6"/>
        <v>23.529571909170063</v>
      </c>
      <c r="L10" s="27">
        <f>SUM(pHealthyStage3*C9,pStage2Stage3*I9,(1-SUM(pStage3Death, pStage3Stage2))*L9)*(1-'Life Table - Male'!B54)</f>
        <v>29.265372512259226</v>
      </c>
      <c r="M10" s="19">
        <f t="shared" si="7"/>
        <v>368035.92160776199</v>
      </c>
      <c r="N10" s="20">
        <f t="shared" si="8"/>
        <v>5.7109022318445826</v>
      </c>
      <c r="O10" s="27">
        <f>SUM(pStage1Remission*F9,pStage2Remission*I9,(1-SUM(pRemissionStage1_trtA, pRemissionStage2_trtA))*O9)*(1-'Life Table - Male'!B54)</f>
        <v>174.6424908568236</v>
      </c>
      <c r="P10" s="19">
        <f t="shared" si="9"/>
        <v>956135.53402598633</v>
      </c>
      <c r="Q10" s="20">
        <f t="shared" si="10"/>
        <v>89.933540329176935</v>
      </c>
      <c r="R10" s="27">
        <f>SUM(pStage3Death*L9*(1-'Life Table - Male'!B54),R9)</f>
        <v>58.876418507940258</v>
      </c>
      <c r="S10" s="19">
        <f t="shared" si="11"/>
        <v>0</v>
      </c>
      <c r="T10" s="23">
        <f t="shared" si="12"/>
        <v>0</v>
      </c>
      <c r="U10" s="237">
        <f>SUM(B9*'Life Table - Male'!B54,U9)</f>
        <v>35.355206421006415</v>
      </c>
      <c r="V10" s="49">
        <f t="shared" si="14"/>
        <v>0</v>
      </c>
      <c r="W10" s="54">
        <v>0.66666666666666663</v>
      </c>
      <c r="X10" s="13">
        <f t="shared" si="15"/>
        <v>1652101.6736047626</v>
      </c>
      <c r="Y10" s="25">
        <f t="shared" si="15"/>
        <v>459.78595288590998</v>
      </c>
    </row>
    <row r="11" spans="1:25" x14ac:dyDescent="0.2">
      <c r="A11" s="10">
        <v>8</v>
      </c>
      <c r="B11" s="15">
        <f t="shared" si="13"/>
        <v>886.38778940601242</v>
      </c>
      <c r="C11" s="27">
        <f>(1-SUM(pHealthyStage1,pHealthyStage2,pHealthyStage3))*C10*(1-'Life Table - Male'!B55)</f>
        <v>491.27455238864513</v>
      </c>
      <c r="D11" s="19">
        <f t="shared" si="2"/>
        <v>0</v>
      </c>
      <c r="E11" s="20">
        <f t="shared" si="1"/>
        <v>517.08889098538918</v>
      </c>
      <c r="F11" s="27">
        <f>SUM(pHealthyStage1*C10,(1-SUM(pStage1Remission,pStage1Stage2))*F10,pStage2Stage1*I10,pRemissionStage1_trtA*O10)*(1-'Life Table - Male'!B55)</f>
        <v>99.679658119379567</v>
      </c>
      <c r="G11" s="19">
        <f t="shared" si="3"/>
        <v>167867.82419774786</v>
      </c>
      <c r="H11" s="20">
        <f t="shared" si="4"/>
        <v>92.327303308761344</v>
      </c>
      <c r="I11" s="27">
        <f>SUM(pHealthyStage2*C10,pStage1Stage2*F10,(1-SUM(pStage2Remission, pStage2Stage1, pStage2Stage3))*I10,pStage3Stage2*L10,pRemissionStage2_trtA*O10)*(1-'Life Table - Male'!B55)</f>
        <v>60.521517699508358</v>
      </c>
      <c r="J11" s="19">
        <f t="shared" si="5"/>
        <v>458651.95148818754</v>
      </c>
      <c r="K11" s="20">
        <f t="shared" si="6"/>
        <v>45.228178549529609</v>
      </c>
      <c r="L11" s="27">
        <f>SUM(pHealthyStage3*C10,pStage2Stage3*I10,(1-SUM(pStage3Death, pStage3Stage2))*L10)*(1-'Life Table - Male'!B55)</f>
        <v>28.977612719956475</v>
      </c>
      <c r="M11" s="19">
        <f t="shared" si="7"/>
        <v>707606.03415007098</v>
      </c>
      <c r="N11" s="20">
        <f t="shared" si="8"/>
        <v>10.980093633363172</v>
      </c>
      <c r="O11" s="27">
        <f>SUM(pStage1Remission*F10,pStage2Remission*I10,(1-SUM(pRemissionStage1_trtA, pRemissionStage2_trtA))*O10)*(1-'Life Table - Male'!B55)</f>
        <v>205.93444847852282</v>
      </c>
      <c r="P11" s="19">
        <f t="shared" si="9"/>
        <v>2189229.6112695504</v>
      </c>
      <c r="Q11" s="20">
        <f t="shared" si="10"/>
        <v>205.91763670357156</v>
      </c>
      <c r="R11" s="27">
        <f>SUM(pStage3Death*L10*(1-'Life Table - Male'!B55),R10)</f>
        <v>71.954196477511616</v>
      </c>
      <c r="S11" s="19">
        <f t="shared" si="11"/>
        <v>0</v>
      </c>
      <c r="T11" s="23">
        <f t="shared" si="12"/>
        <v>0</v>
      </c>
      <c r="U11" s="237">
        <f>SUM(B10*'Life Table - Male'!B55,U10)</f>
        <v>41.658014116476238</v>
      </c>
      <c r="V11" s="49">
        <f t="shared" si="14"/>
        <v>0</v>
      </c>
      <c r="W11" s="54">
        <v>1.3333333333333333</v>
      </c>
      <c r="X11" s="13">
        <f t="shared" si="15"/>
        <v>3523355.4211055567</v>
      </c>
      <c r="Y11" s="25">
        <f t="shared" si="15"/>
        <v>871.54210318061484</v>
      </c>
    </row>
    <row r="12" spans="1:25" x14ac:dyDescent="0.2">
      <c r="A12" s="10">
        <v>9</v>
      </c>
      <c r="B12" s="15">
        <f t="shared" si="13"/>
        <v>866.70406176946369</v>
      </c>
      <c r="C12" s="27">
        <f>(1-SUM(pHealthyStage1,pHealthyStage2,pHealthyStage3))*C11*(1-'Life Table - Male'!B56)</f>
        <v>448.53430607565599</v>
      </c>
      <c r="D12" s="19">
        <f t="shared" si="2"/>
        <v>0</v>
      </c>
      <c r="E12" s="20">
        <f t="shared" si="1"/>
        <v>229.17613147101363</v>
      </c>
      <c r="F12" s="27">
        <f>SUM(pHealthyStage1*C11,(1-SUM(pStage1Remission,pStage1Stage2))*F11,pStage2Stage1*I11,pRemissionStage1_trtA*O11)*(1-'Life Table - Male'!B56)</f>
        <v>95.766165656233213</v>
      </c>
      <c r="G12" s="19">
        <f t="shared" si="3"/>
        <v>78289.911201417301</v>
      </c>
      <c r="H12" s="20">
        <f t="shared" si="4"/>
        <v>43.059451160779517</v>
      </c>
      <c r="I12" s="27">
        <f>SUM(pHealthyStage2*C11,pStage1Stage2*F11,(1-SUM(pStage2Remission, pStage2Stage1, pStage2Stage3))*I11,pStage3Stage2*L11,pRemissionStage2_trtA*O11)*(1-'Life Table - Male'!B56)</f>
        <v>59.161087690180189</v>
      </c>
      <c r="J12" s="19">
        <f t="shared" si="5"/>
        <v>217641.82804513283</v>
      </c>
      <c r="K12" s="20">
        <f t="shared" si="6"/>
        <v>21.461902487783931</v>
      </c>
      <c r="L12" s="27">
        <f>SUM(pHealthyStage3*C11,pStage2Stage3*I11,(1-SUM(pStage3Death, pStage3Stage2))*L11)*(1-'Life Table - Male'!B56)</f>
        <v>28.263125875757272</v>
      </c>
      <c r="M12" s="19">
        <f t="shared" si="7"/>
        <v>335028.61056315753</v>
      </c>
      <c r="N12" s="20">
        <f t="shared" si="8"/>
        <v>5.1987198190834789</v>
      </c>
      <c r="O12" s="27">
        <f>SUM(pStage1Remission*F11,pStage2Remission*I11,(1-SUM(pRemissionStage1_trtA, pRemissionStage2_trtA))*O11)*(1-'Life Table - Male'!B56)</f>
        <v>234.97937647163698</v>
      </c>
      <c r="P12" s="19">
        <f t="shared" si="9"/>
        <v>1212620.3142824685</v>
      </c>
      <c r="Q12" s="20">
        <f t="shared" si="10"/>
        <v>114.05834639290546</v>
      </c>
      <c r="R12" s="27">
        <f>SUM(pStage3Death*L11*(1-'Life Table - Male'!B56),R11)</f>
        <v>84.894923832700613</v>
      </c>
      <c r="S12" s="19">
        <f t="shared" si="11"/>
        <v>0</v>
      </c>
      <c r="T12" s="23">
        <f t="shared" si="12"/>
        <v>0</v>
      </c>
      <c r="U12" s="237">
        <f>SUM(B11*'Life Table - Male'!B56,U11)</f>
        <v>48.401014397835958</v>
      </c>
      <c r="V12" s="49">
        <f t="shared" si="14"/>
        <v>0</v>
      </c>
      <c r="W12" s="54">
        <v>0.66666666666666663</v>
      </c>
      <c r="X12" s="13">
        <f t="shared" si="15"/>
        <v>1843580.6640921761</v>
      </c>
      <c r="Y12" s="25">
        <f t="shared" si="15"/>
        <v>412.95455133156599</v>
      </c>
    </row>
    <row r="13" spans="1:25" x14ac:dyDescent="0.2">
      <c r="A13" s="10">
        <v>10</v>
      </c>
      <c r="B13" s="15">
        <f t="shared" si="13"/>
        <v>846.87487610675362</v>
      </c>
      <c r="C13" s="27">
        <f>(1-SUM(pHealthyStage1,pHealthyStage2,pHealthyStage3))*C12*(1-'Life Table - Male'!B57)</f>
        <v>409.2155857643175</v>
      </c>
      <c r="D13" s="19">
        <f t="shared" si="2"/>
        <v>0</v>
      </c>
      <c r="E13" s="20">
        <f t="shared" si="1"/>
        <v>405.9931029975034</v>
      </c>
      <c r="F13" s="27">
        <f>SUM(pHealthyStage1*C12,(1-SUM(pStage1Remission,pStage1Stage2))*F12,pStage2Stage1*I12,pRemissionStage1_trtA*O12)*(1-'Life Table - Male'!B57)</f>
        <v>91.563552164121631</v>
      </c>
      <c r="G13" s="19">
        <f t="shared" si="3"/>
        <v>145348.01491552379</v>
      </c>
      <c r="H13" s="20">
        <f t="shared" si="4"/>
        <v>79.941408203538089</v>
      </c>
      <c r="I13" s="27">
        <f>SUM(pHealthyStage2*C12,pStage1Stage2*F12,(1-SUM(pStage2Remission, pStage2Stage1, pStage2Stage3))*I12,pStage3Stage2*L12,pRemissionStage2_trtA*O12)*(1-'Life Table - Male'!B57)</f>
        <v>57.32557159577231</v>
      </c>
      <c r="J13" s="19">
        <f t="shared" si="5"/>
        <v>409493.846326951</v>
      </c>
      <c r="K13" s="20">
        <f t="shared" si="6"/>
        <v>40.38064317946322</v>
      </c>
      <c r="L13" s="27">
        <f>SUM(pHealthyStage3*C12,pStage2Stage3*I12,(1-SUM(pStage3Death, pStage3Stage2))*L12)*(1-'Life Table - Male'!B57)</f>
        <v>27.262162593189746</v>
      </c>
      <c r="M13" s="19">
        <f t="shared" si="7"/>
        <v>627501.51411521155</v>
      </c>
      <c r="N13" s="20">
        <f t="shared" si="8"/>
        <v>9.737092460408455</v>
      </c>
      <c r="O13" s="27">
        <f>SUM(pStage1Remission*F12,pStage2Remission*I12,(1-SUM(pRemissionStage1_trtA, pRemissionStage2_trtA))*O12)*(1-'Life Table - Male'!B57)</f>
        <v>261.5080039893524</v>
      </c>
      <c r="P13" s="19">
        <f t="shared" si="9"/>
        <v>2620431.7281322442</v>
      </c>
      <c r="Q13" s="20">
        <f t="shared" si="10"/>
        <v>246.47625165600314</v>
      </c>
      <c r="R13" s="27">
        <f>SUM(pStage3Death*L12*(1-'Life Table - Male'!B57),R12)</f>
        <v>97.507429659169574</v>
      </c>
      <c r="S13" s="19">
        <f t="shared" si="11"/>
        <v>0</v>
      </c>
      <c r="T13" s="23">
        <f t="shared" si="12"/>
        <v>0</v>
      </c>
      <c r="U13" s="237">
        <f>SUM(B12*'Life Table - Male'!B57,U12)</f>
        <v>55.617694234077163</v>
      </c>
      <c r="V13" s="49">
        <f t="shared" si="14"/>
        <v>0</v>
      </c>
      <c r="W13" s="54">
        <v>1.3333333333333333</v>
      </c>
      <c r="X13" s="13">
        <f t="shared" si="15"/>
        <v>3802775.1034899307</v>
      </c>
      <c r="Y13" s="25">
        <f t="shared" si="15"/>
        <v>782.52849849691631</v>
      </c>
    </row>
    <row r="14" spans="1:25" x14ac:dyDescent="0.2">
      <c r="A14" s="10">
        <v>11</v>
      </c>
      <c r="B14" s="15">
        <f t="shared" si="13"/>
        <v>827.08941196584635</v>
      </c>
      <c r="C14" s="27">
        <f>(1-SUM(pHealthyStage1,pHealthyStage2,pHealthyStage3))*C13*(1-'Life Table - Male'!B58)</f>
        <v>373.08731433264489</v>
      </c>
      <c r="D14" s="19">
        <f t="shared" si="2"/>
        <v>0</v>
      </c>
      <c r="E14" s="20">
        <f t="shared" si="1"/>
        <v>179.68414260199535</v>
      </c>
      <c r="F14" s="27">
        <f>SUM(pHealthyStage1*C13,(1-SUM(pStage1Remission,pStage1Stage2))*F13,pStage2Stage1*I13,pRemissionStage1_trtA*O13)*(1-'Life Table - Male'!B58)</f>
        <v>87.280228906847341</v>
      </c>
      <c r="G14" s="19">
        <f t="shared" si="3"/>
        <v>67256.634014631301</v>
      </c>
      <c r="H14" s="20">
        <f t="shared" si="4"/>
        <v>36.99114870804722</v>
      </c>
      <c r="I14" s="27">
        <f>SUM(pHealthyStage2*C13,pStage1Stage2*F13,(1-SUM(pStage2Remission, pStage2Stage1, pStage2Stage3))*I13,pStage3Stage2*L13,pRemissionStage2_trtA*O13)*(1-'Life Table - Male'!B58)</f>
        <v>55.212367820367753</v>
      </c>
      <c r="J14" s="19">
        <f t="shared" si="5"/>
        <v>191455.62837518638</v>
      </c>
      <c r="K14" s="20">
        <f t="shared" si="6"/>
        <v>18.879652242553099</v>
      </c>
      <c r="L14" s="27">
        <f>SUM(pHealthyStage3*C13,pStage2Stage3*I13,(1-SUM(pStage3Death, pStage3Stage2))*L13)*(1-'Life Table - Male'!B58)</f>
        <v>26.084984098032109</v>
      </c>
      <c r="M14" s="19">
        <f t="shared" si="7"/>
        <v>291459.24152138899</v>
      </c>
      <c r="N14" s="20">
        <f t="shared" si="8"/>
        <v>4.5226434029181037</v>
      </c>
      <c r="O14" s="27">
        <f>SUM(pStage1Remission*F13,pStage2Remission*I13,(1-SUM(pRemissionStage1_trtA, pRemissionStage2_trtA))*O13)*(1-'Life Table - Male'!B58)</f>
        <v>285.42451680795421</v>
      </c>
      <c r="P14" s="19">
        <f t="shared" si="9"/>
        <v>1388391.4082869135</v>
      </c>
      <c r="Q14" s="20">
        <f t="shared" si="10"/>
        <v>130.59127107649186</v>
      </c>
      <c r="R14" s="27">
        <f>SUM(pStage3Death*L13*(1-'Life Table - Male'!B58),R13)</f>
        <v>109.66490244894953</v>
      </c>
      <c r="S14" s="19">
        <f t="shared" si="11"/>
        <v>0</v>
      </c>
      <c r="T14" s="23">
        <f t="shared" si="12"/>
        <v>0</v>
      </c>
      <c r="U14" s="237">
        <f>SUM(B13*'Life Table - Male'!B58,U13)</f>
        <v>63.24568558520459</v>
      </c>
      <c r="V14" s="49">
        <f t="shared" si="14"/>
        <v>0</v>
      </c>
      <c r="W14" s="54">
        <v>0.66666666666666663</v>
      </c>
      <c r="X14" s="13">
        <f t="shared" si="15"/>
        <v>1938562.9121981203</v>
      </c>
      <c r="Y14" s="25">
        <f t="shared" si="15"/>
        <v>370.66885803200563</v>
      </c>
    </row>
    <row r="15" spans="1:25" x14ac:dyDescent="0.2">
      <c r="A15" s="10">
        <v>12</v>
      </c>
      <c r="B15" s="15">
        <f t="shared" si="13"/>
        <v>807.40767031157429</v>
      </c>
      <c r="C15" s="27">
        <f>(1-SUM(pHealthyStage1,pHealthyStage2,pHealthyStage3))*C14*(1-'Life Table - Male'!B59)</f>
        <v>339.89633551834248</v>
      </c>
      <c r="D15" s="19">
        <f t="shared" si="2"/>
        <v>0</v>
      </c>
      <c r="E15" s="20">
        <f t="shared" si="1"/>
        <v>317.86193477851424</v>
      </c>
      <c r="F15" s="27">
        <f>SUM(pHealthyStage1*C14,(1-SUM(pStage1Remission,pStage1Stage2))*F14,pStage2Stage1*I14,pRemissionStage1_trtA*O14)*(1-'Life Table - Male'!B59)</f>
        <v>83.038665990044734</v>
      </c>
      <c r="G15" s="19">
        <f t="shared" si="3"/>
        <v>124248.85248742803</v>
      </c>
      <c r="H15" s="20">
        <f t="shared" si="4"/>
        <v>68.336868868085418</v>
      </c>
      <c r="I15" s="27">
        <f>SUM(pHealthyStage2*C14,pStage1Stage2*F14,(1-SUM(pStage2Remission, pStage2Stage1, pStage2Stage3))*I14,pStage3Stage2*L14,pRemissionStage2_trtA*O14)*(1-'Life Table - Male'!B59)</f>
        <v>52.954701321020423</v>
      </c>
      <c r="J15" s="19">
        <f t="shared" si="5"/>
        <v>356557.07585464307</v>
      </c>
      <c r="K15" s="20">
        <f t="shared" si="6"/>
        <v>35.160489424555074</v>
      </c>
      <c r="L15" s="27">
        <f>SUM(pHealthyStage3*C14,pStage2Stage3*I14,(1-SUM(pStage3Death, pStage3Stage2))*L14)*(1-'Life Table - Male'!B59)</f>
        <v>24.811121723366945</v>
      </c>
      <c r="M15" s="19">
        <f t="shared" si="7"/>
        <v>538302.53426332062</v>
      </c>
      <c r="N15" s="20">
        <f t="shared" si="8"/>
        <v>8.3529703592584212</v>
      </c>
      <c r="O15" s="27">
        <f>SUM(pStage1Remission*F14,pStage2Remission*I14,(1-SUM(pRemissionStage1_trtA, pRemissionStage2_trtA))*O14)*(1-'Life Table - Male'!B59)</f>
        <v>306.7068457587996</v>
      </c>
      <c r="P15" s="19">
        <f t="shared" si="9"/>
        <v>2896922.5445333105</v>
      </c>
      <c r="Q15" s="20">
        <f t="shared" si="10"/>
        <v>272.48281359471736</v>
      </c>
      <c r="R15" s="27">
        <f>SUM(pStage3Death*L14*(1-'Life Table - Male'!B59),R14)</f>
        <v>121.28878632530044</v>
      </c>
      <c r="S15" s="19">
        <f t="shared" si="11"/>
        <v>0</v>
      </c>
      <c r="T15" s="23">
        <f t="shared" si="12"/>
        <v>0</v>
      </c>
      <c r="U15" s="237">
        <f>SUM(B14*'Life Table - Male'!B59,U14)</f>
        <v>71.303543363125797</v>
      </c>
      <c r="V15" s="49">
        <f t="shared" si="14"/>
        <v>0</v>
      </c>
      <c r="W15" s="54">
        <v>1.3333333333333333</v>
      </c>
      <c r="X15" s="13">
        <f t="shared" si="15"/>
        <v>3916031.0071387021</v>
      </c>
      <c r="Y15" s="25">
        <f t="shared" si="15"/>
        <v>702.19507702513056</v>
      </c>
    </row>
    <row r="16" spans="1:25" x14ac:dyDescent="0.2">
      <c r="A16" s="10">
        <v>13</v>
      </c>
      <c r="B16" s="15">
        <f t="shared" si="13"/>
        <v>787.84878619897688</v>
      </c>
      <c r="C16" s="27">
        <f>(1-SUM(pHealthyStage1,pHealthyStage2,pHealthyStage3))*C15*(1-'Life Table - Male'!B60)</f>
        <v>309.40814001221196</v>
      </c>
      <c r="D16" s="19">
        <f t="shared" si="2"/>
        <v>0</v>
      </c>
      <c r="E16" s="20">
        <f t="shared" si="1"/>
        <v>140.46125836407501</v>
      </c>
      <c r="F16" s="27">
        <f>SUM(pHealthyStage1*C15,(1-SUM(pStage1Remission,pStage1Stage2))*F15,pStage2Stage1*I15,pRemissionStage1_trtA*O15)*(1-'Life Table - Male'!B60)</f>
        <v>78.911089048888371</v>
      </c>
      <c r="G16" s="19">
        <f t="shared" si="3"/>
        <v>57316.919283372285</v>
      </c>
      <c r="H16" s="20">
        <f t="shared" si="4"/>
        <v>31.524305605854757</v>
      </c>
      <c r="I16" s="27">
        <f>SUM(pHealthyStage2*C15,pStage1Stage2*F15,(1-SUM(pStage2Remission, pStage2Stage1, pStage2Stage3))*I15,pStage3Stage2*L15,pRemissionStage2_trtA*O15)*(1-'Life Table - Male'!B60)</f>
        <v>50.642682610891107</v>
      </c>
      <c r="J16" s="19">
        <f t="shared" si="5"/>
        <v>165528.97240673046</v>
      </c>
      <c r="K16" s="20">
        <f t="shared" si="6"/>
        <v>16.322995890108139</v>
      </c>
      <c r="L16" s="27">
        <f>SUM(pHealthyStage3*C15,pStage2Stage3*I15,(1-SUM(pStage3Death, pStage3Stage2))*L15)*(1-'Life Table - Male'!B60)</f>
        <v>23.4973841573903</v>
      </c>
      <c r="M16" s="19">
        <f t="shared" si="7"/>
        <v>247475.56353118527</v>
      </c>
      <c r="N16" s="20">
        <f t="shared" si="8"/>
        <v>3.8401380547942545</v>
      </c>
      <c r="O16" s="27">
        <f>SUM(pStage1Remission*F15,pStage2Remission*I15,(1-SUM(pRemissionStage1_trtA, pRemissionStage2_trtA))*O15)*(1-'Life Table - Male'!B60)</f>
        <v>325.38949036959519</v>
      </c>
      <c r="P16" s="19">
        <f t="shared" si="9"/>
        <v>1491934.3572116119</v>
      </c>
      <c r="Q16" s="20">
        <f t="shared" si="10"/>
        <v>140.33045934168626</v>
      </c>
      <c r="R16" s="27">
        <f>SUM(pStage3Death*L15*(1-'Life Table - Male'!B60),R15)</f>
        <v>132.33609117472517</v>
      </c>
      <c r="S16" s="19">
        <f t="shared" si="11"/>
        <v>0</v>
      </c>
      <c r="T16" s="23">
        <f t="shared" si="12"/>
        <v>0</v>
      </c>
      <c r="U16" s="237">
        <f>SUM(B15*'Life Table - Male'!B60,U15)</f>
        <v>79.815122626298304</v>
      </c>
      <c r="V16" s="49">
        <f t="shared" si="14"/>
        <v>0</v>
      </c>
      <c r="W16" s="54">
        <v>0.66666666666666663</v>
      </c>
      <c r="X16" s="13">
        <f t="shared" si="15"/>
        <v>1962255.8124329001</v>
      </c>
      <c r="Y16" s="25">
        <f t="shared" si="15"/>
        <v>332.47915725651842</v>
      </c>
    </row>
    <row r="17" spans="1:25" x14ac:dyDescent="0.2">
      <c r="A17" s="10">
        <v>14</v>
      </c>
      <c r="B17" s="15">
        <f t="shared" si="13"/>
        <v>768.38976290040864</v>
      </c>
      <c r="C17" s="27">
        <f>(1-SUM(pHealthyStage1,pHealthyStage2,pHealthyStage3))*C16*(1-'Life Table - Male'!B61)</f>
        <v>281.40152954292768</v>
      </c>
      <c r="D17" s="19">
        <f t="shared" si="2"/>
        <v>0</v>
      </c>
      <c r="E17" s="20">
        <f t="shared" si="1"/>
        <v>248.05274902056493</v>
      </c>
      <c r="F17" s="27">
        <f>SUM(pHealthyStage1*C16,(1-SUM(pStage1Remission,pStage1Stage2))*F16,pStage2Stage1*I16,pRemissionStage1_trtA*O16)*(1-'Life Table - Male'!B61)</f>
        <v>74.936023388685726</v>
      </c>
      <c r="G17" s="19">
        <f t="shared" si="3"/>
        <v>105688.61730026803</v>
      </c>
      <c r="H17" s="20">
        <f t="shared" si="4"/>
        <v>58.128739515147416</v>
      </c>
      <c r="I17" s="27">
        <f>SUM(pHealthyStage2*C16,pStage1Stage2*F16,(1-SUM(pStage2Remission, pStage2Stage1, pStage2Stage3))*I16,pStage3Stage2*L16,pRemissionStage2_trtA*O16)*(1-'Life Table - Male'!B61)</f>
        <v>48.334731408939156</v>
      </c>
      <c r="J17" s="19">
        <f t="shared" si="5"/>
        <v>306767.53510953742</v>
      </c>
      <c r="K17" s="20">
        <f t="shared" si="6"/>
        <v>30.250687489968275</v>
      </c>
      <c r="L17" s="27">
        <f>SUM(pHealthyStage3*C16,pStage2Stage3*I16,(1-SUM(pStage3Death, pStage3Stage2))*L16)*(1-'Life Table - Male'!B61)</f>
        <v>22.182668734046302</v>
      </c>
      <c r="M17" s="19">
        <f t="shared" si="7"/>
        <v>453648.38521489647</v>
      </c>
      <c r="N17" s="20">
        <f t="shared" si="8"/>
        <v>7.039371494713909</v>
      </c>
      <c r="O17" s="27">
        <f>SUM(pStage1Remission*F16,pStage2Remission*I16,(1-SUM(pRemissionStage1_trtA, pRemissionStage2_trtA))*O16)*(1-'Life Table - Male'!B61)</f>
        <v>341.53480982580987</v>
      </c>
      <c r="P17" s="19">
        <f t="shared" si="9"/>
        <v>3040702.5536472802</v>
      </c>
      <c r="Q17" s="20">
        <f t="shared" si="10"/>
        <v>286.00667583811048</v>
      </c>
      <c r="R17" s="27">
        <f>SUM(pStage3Death*L16*(1-'Life Table - Male'!B61),R16)</f>
        <v>142.7890423593042</v>
      </c>
      <c r="S17" s="19">
        <f t="shared" si="11"/>
        <v>0</v>
      </c>
      <c r="T17" s="23">
        <f t="shared" si="12"/>
        <v>0</v>
      </c>
      <c r="U17" s="237">
        <f>SUM(B16*'Life Table - Male'!B61,U16)</f>
        <v>88.821194740287424</v>
      </c>
      <c r="V17" s="49">
        <f t="shared" si="14"/>
        <v>0</v>
      </c>
      <c r="W17" s="54">
        <v>1.3333333333333333</v>
      </c>
      <c r="X17" s="13">
        <f t="shared" si="15"/>
        <v>3906807.0912719821</v>
      </c>
      <c r="Y17" s="25">
        <f t="shared" si="15"/>
        <v>629.47822335850503</v>
      </c>
    </row>
    <row r="18" spans="1:25" x14ac:dyDescent="0.2">
      <c r="A18" s="10">
        <v>15</v>
      </c>
      <c r="B18" s="15">
        <f t="shared" si="13"/>
        <v>749.00358764772159</v>
      </c>
      <c r="C18" s="27">
        <f>(1-SUM(pHealthyStage1,pHealthyStage2,pHealthyStage3))*C17*(1-'Life Table - Male'!B62)</f>
        <v>255.67927392195537</v>
      </c>
      <c r="D18" s="19">
        <f t="shared" si="2"/>
        <v>0</v>
      </c>
      <c r="E18" s="20">
        <f t="shared" si="1"/>
        <v>109.40719777901673</v>
      </c>
      <c r="F18" s="27">
        <f>SUM(pHealthyStage1*C17,(1-SUM(pStage1Remission,pStage1Stage2))*F17,pStage2Stage1*I17,pRemissionStage1_trtA*O17)*(1-'Life Table - Male'!B62)</f>
        <v>71.132829522592729</v>
      </c>
      <c r="G18" s="19">
        <f t="shared" si="3"/>
        <v>48701.286913290765</v>
      </c>
      <c r="H18" s="20">
        <f t="shared" si="4"/>
        <v>26.785707802309922</v>
      </c>
      <c r="I18" s="27">
        <f>SUM(pHealthyStage2*C17,pStage1Stage2*F17,(1-SUM(pStage2Remission, pStage2Stage1, pStage2Stage3))*I17,pStage3Stage2*L17,pRemissionStage2_trtA*O17)*(1-'Life Table - Male'!B62)</f>
        <v>46.068548276740415</v>
      </c>
      <c r="J18" s="19">
        <f t="shared" si="5"/>
        <v>141934.31093111186</v>
      </c>
      <c r="K18" s="20">
        <f t="shared" si="6"/>
        <v>13.996300105706863</v>
      </c>
      <c r="L18" s="27">
        <f>SUM(pHealthyStage3*C17,pStage2Stage3*I17,(1-SUM(pStage3Death, pStage3Stage2))*L17)*(1-'Life Table - Male'!B62)</f>
        <v>20.89323823262529</v>
      </c>
      <c r="M18" s="19">
        <f t="shared" si="7"/>
        <v>207416.88682830735</v>
      </c>
      <c r="N18" s="20">
        <f t="shared" si="8"/>
        <v>3.2185378990599416</v>
      </c>
      <c r="O18" s="27">
        <f>SUM(pStage1Remission*F17,pStage2Remission*I17,(1-SUM(pRemissionStage1_trtA, pRemissionStage2_trtA))*O17)*(1-'Life Table - Male'!B62)</f>
        <v>355.22969769380791</v>
      </c>
      <c r="P18" s="19">
        <f t="shared" si="9"/>
        <v>1535256.7319349586</v>
      </c>
      <c r="Q18" s="20">
        <f t="shared" si="10"/>
        <v>144.40533617210008</v>
      </c>
      <c r="R18" s="27">
        <f>SUM(pStage3Death*L17*(1-'Life Table - Male'!B62),R17)</f>
        <v>152.64746767617311</v>
      </c>
      <c r="S18" s="19">
        <f t="shared" si="11"/>
        <v>0</v>
      </c>
      <c r="T18" s="23">
        <f t="shared" si="12"/>
        <v>0</v>
      </c>
      <c r="U18" s="237">
        <f>SUM(B17*'Life Table - Male'!B62,U17)</f>
        <v>98.34894467610556</v>
      </c>
      <c r="V18" s="49">
        <f t="shared" si="14"/>
        <v>0</v>
      </c>
      <c r="W18" s="54">
        <v>0.66666666666666663</v>
      </c>
      <c r="X18" s="13">
        <f t="shared" si="15"/>
        <v>1933309.2166076684</v>
      </c>
      <c r="Y18" s="25">
        <f t="shared" si="15"/>
        <v>297.81307975819357</v>
      </c>
    </row>
    <row r="19" spans="1:25" x14ac:dyDescent="0.2">
      <c r="A19" s="10">
        <v>16</v>
      </c>
      <c r="B19" s="15">
        <f t="shared" si="13"/>
        <v>729.75747574388458</v>
      </c>
      <c r="C19" s="27">
        <f>(1-SUM(pHealthyStage1,pHealthyStage2,pHealthyStage3))*C18*(1-'Life Table - Male'!B63)</f>
        <v>232.09407003538257</v>
      </c>
      <c r="D19" s="19">
        <f t="shared" si="2"/>
        <v>0</v>
      </c>
      <c r="E19" s="20">
        <f t="shared" si="1"/>
        <v>192.84446831345093</v>
      </c>
      <c r="F19" s="27">
        <f>SUM(pHealthyStage1*C18,(1-SUM(pStage1Remission,pStage1Stage2))*F18,pStage2Stage1*I18,pRemissionStage1_trtA*O18)*(1-'Life Table - Male'!B63)</f>
        <v>67.517537984201638</v>
      </c>
      <c r="G19" s="19">
        <f t="shared" si="3"/>
        <v>89759.35464382451</v>
      </c>
      <c r="H19" s="20">
        <f t="shared" si="4"/>
        <v>49.367645054103491</v>
      </c>
      <c r="I19" s="27">
        <f>SUM(pHealthyStage2*C18,pStage1Stage2*F18,(1-SUM(pStage2Remission, pStage2Stage1, pStage2Stage3))*I18,pStage3Stage2*L18,pRemissionStage2_trtA*O18)*(1-'Life Table - Male'!B63)</f>
        <v>43.873124290428997</v>
      </c>
      <c r="J19" s="19">
        <f t="shared" si="5"/>
        <v>262466.69354966679</v>
      </c>
      <c r="K19" s="20">
        <f t="shared" si="6"/>
        <v>25.882132280592138</v>
      </c>
      <c r="L19" s="27">
        <f>SUM(pHealthyStage3*C18,pStage2Stage3*I18,(1-SUM(pStage3Death, pStage3Stage2))*L18)*(1-'Life Table - Male'!B63)</f>
        <v>19.648641293947723</v>
      </c>
      <c r="M19" s="19">
        <f t="shared" si="7"/>
        <v>378759.6010608183</v>
      </c>
      <c r="N19" s="20">
        <f t="shared" si="8"/>
        <v>5.8773041543920073</v>
      </c>
      <c r="O19" s="27">
        <f>SUM(pStage1Remission*F18,pStage2Remission*I18,(1-SUM(pRemissionStage1_trtA, pRemissionStage2_trtA))*O18)*(1-'Life Table - Male'!B63)</f>
        <v>366.62410213992365</v>
      </c>
      <c r="P19" s="19">
        <f t="shared" si="9"/>
        <v>3076702.6636080984</v>
      </c>
      <c r="Q19" s="20">
        <f t="shared" si="10"/>
        <v>289.39282479482114</v>
      </c>
      <c r="R19" s="27">
        <f>SUM(pStage3Death*L18*(1-'Life Table - Male'!B63),R18)</f>
        <v>161.92428410589125</v>
      </c>
      <c r="S19" s="19">
        <f t="shared" si="11"/>
        <v>0</v>
      </c>
      <c r="T19" s="23">
        <f t="shared" si="12"/>
        <v>0</v>
      </c>
      <c r="U19" s="237">
        <f>SUM(B18*'Life Table - Male'!B63,U18)</f>
        <v>108.31824015022454</v>
      </c>
      <c r="V19" s="49">
        <f t="shared" si="14"/>
        <v>0</v>
      </c>
      <c r="W19" s="54">
        <v>1.3333333333333333</v>
      </c>
      <c r="X19" s="13">
        <f t="shared" si="15"/>
        <v>3807688.3128624079</v>
      </c>
      <c r="Y19" s="25">
        <f t="shared" si="15"/>
        <v>563.36437459735976</v>
      </c>
    </row>
    <row r="20" spans="1:25" x14ac:dyDescent="0.2">
      <c r="A20" s="10">
        <v>17</v>
      </c>
      <c r="B20" s="15">
        <f t="shared" si="13"/>
        <v>710.56585971152049</v>
      </c>
      <c r="C20" s="27">
        <f>(1-SUM(pHealthyStage1,pHealthyStage2,pHealthyStage3))*C19*(1-'Life Table - Male'!B64)</f>
        <v>210.46107938006654</v>
      </c>
      <c r="D20" s="19">
        <f t="shared" si="2"/>
        <v>0</v>
      </c>
      <c r="E20" s="20">
        <f t="shared" si="1"/>
        <v>84.888276156788066</v>
      </c>
      <c r="F20" s="27">
        <f>SUM(pHealthyStage1*C19,(1-SUM(pStage1Remission,pStage1Stage2))*F19,pStage2Stage1*I19,pRemissionStage1_trtA*O19)*(1-'Life Table - Male'!B64)</f>
        <v>64.08383018606574</v>
      </c>
      <c r="G20" s="19">
        <f t="shared" si="3"/>
        <v>41356.555920312916</v>
      </c>
      <c r="H20" s="20">
        <f t="shared" si="4"/>
        <v>22.746105756172103</v>
      </c>
      <c r="I20" s="27">
        <f>SUM(pHealthyStage2*C19,pStage1Stage2*F19,(1-SUM(pStage2Remission, pStage2Stage1, pStage2Stage3))*I19,pStage3Stage2*L19,pRemissionStage2_trtA*O19)*(1-'Life Table - Male'!B64)</f>
        <v>41.757958466078733</v>
      </c>
      <c r="J20" s="19">
        <f t="shared" si="5"/>
        <v>121268.40776102654</v>
      </c>
      <c r="K20" s="20">
        <f t="shared" si="6"/>
        <v>11.958412431990116</v>
      </c>
      <c r="L20" s="27">
        <f>SUM(pHealthyStage3*C19,pStage2Stage3*I19,(1-SUM(pStage3Death, pStage3Stage2))*L19)*(1-'Life Table - Male'!B64)</f>
        <v>18.457389394260655</v>
      </c>
      <c r="M20" s="19">
        <f t="shared" si="7"/>
        <v>172716.63989107634</v>
      </c>
      <c r="N20" s="20">
        <f t="shared" si="8"/>
        <v>2.6800857914132536</v>
      </c>
      <c r="O20" s="27">
        <f>SUM(pStage1Remission*F19,pStage2Remission*I19,(1-SUM(pRemissionStage1_trtA, pRemissionStage2_trtA))*O19)*(1-'Life Table - Male'!B64)</f>
        <v>375.80560228504879</v>
      </c>
      <c r="P20" s="19">
        <f t="shared" si="9"/>
        <v>1530948.370141896</v>
      </c>
      <c r="Q20" s="20">
        <f t="shared" si="10"/>
        <v>144.00009422126743</v>
      </c>
      <c r="R20" s="27">
        <f>SUM(pStage3Death*L19*(1-'Life Table - Male'!B64),R19)</f>
        <v>170.63923530659312</v>
      </c>
      <c r="S20" s="19">
        <f t="shared" si="11"/>
        <v>0</v>
      </c>
      <c r="T20" s="23">
        <f t="shared" si="12"/>
        <v>0</v>
      </c>
      <c r="U20" s="237">
        <f>SUM(B19*'Life Table - Male'!B64,U19)</f>
        <v>118.79490498188682</v>
      </c>
      <c r="V20" s="49">
        <f t="shared" si="14"/>
        <v>0</v>
      </c>
      <c r="W20" s="54">
        <v>0.66666666666666663</v>
      </c>
      <c r="X20" s="13">
        <f t="shared" si="15"/>
        <v>1866289.9737143116</v>
      </c>
      <c r="Y20" s="25">
        <f t="shared" si="15"/>
        <v>266.27297435763097</v>
      </c>
    </row>
    <row r="21" spans="1:25" x14ac:dyDescent="0.2">
      <c r="A21" s="10">
        <v>18</v>
      </c>
      <c r="B21" s="15">
        <f t="shared" si="13"/>
        <v>691.45298937620487</v>
      </c>
      <c r="C21" s="27">
        <f>(1-SUM(pHealthyStage1,pHealthyStage2,pHealthyStage3))*C20*(1-'Life Table - Male'!B65)</f>
        <v>190.64451985263193</v>
      </c>
      <c r="D21" s="19">
        <f t="shared" si="2"/>
        <v>0</v>
      </c>
      <c r="E21" s="20">
        <f t="shared" si="1"/>
        <v>149.31141724404179</v>
      </c>
      <c r="F21" s="27">
        <f>SUM(pHealthyStage1*C20,(1-SUM(pStage1Remission,pStage1Stage2))*F20,pStage2Stage1*I20,pRemissionStage1_trtA*O20)*(1-'Life Table - Male'!B65)</f>
        <v>60.830800271903804</v>
      </c>
      <c r="G21" s="19">
        <f t="shared" si="3"/>
        <v>76227.59265429205</v>
      </c>
      <c r="H21" s="20">
        <f t="shared" si="4"/>
        <v>41.925175959860631</v>
      </c>
      <c r="I21" s="27">
        <f>SUM(pHealthyStage2*C20,pStage1Stage2*F20,(1-SUM(pStage2Remission, pStage2Stage1, pStage2Stage3))*I20,pStage3Stage2*L20,pRemissionStage2_trtA*O20)*(1-'Life Table - Male'!B65)</f>
        <v>39.732310151076234</v>
      </c>
      <c r="J21" s="19">
        <f t="shared" si="5"/>
        <v>224050.02941644678</v>
      </c>
      <c r="K21" s="20">
        <f t="shared" si="6"/>
        <v>22.093822345232944</v>
      </c>
      <c r="L21" s="27">
        <f>SUM(pHealthyStage3*C20,pStage2Stage3*I20,(1-SUM(pStage3Death, pStage3Stage2))*L20)*(1-'Life Table - Male'!B65)</f>
        <v>17.326199905280319</v>
      </c>
      <c r="M21" s="19">
        <f t="shared" si="7"/>
        <v>314818.3204804894</v>
      </c>
      <c r="N21" s="20">
        <f t="shared" si="8"/>
        <v>4.8851118695248354</v>
      </c>
      <c r="O21" s="27">
        <f>SUM(pStage1Remission*F20,pStage2Remission*I20,(1-SUM(pRemissionStage1_trtA, pRemissionStage2_trtA))*O20)*(1-'Life Table - Male'!B65)</f>
        <v>382.91915919531255</v>
      </c>
      <c r="P21" s="19">
        <f t="shared" si="9"/>
        <v>3028985.2767590717</v>
      </c>
      <c r="Q21" s="20">
        <f t="shared" si="10"/>
        <v>284.90455573476413</v>
      </c>
      <c r="R21" s="27">
        <f>SUM(pStage3Death*L20*(1-'Life Table - Male'!B65),R20)</f>
        <v>178.81724259836929</v>
      </c>
      <c r="S21" s="19">
        <f t="shared" si="11"/>
        <v>0</v>
      </c>
      <c r="T21" s="23">
        <f t="shared" si="12"/>
        <v>0</v>
      </c>
      <c r="U21" s="237">
        <f>SUM(B20*'Life Table - Male'!B65,U20)</f>
        <v>129.72976802542627</v>
      </c>
      <c r="V21" s="49">
        <f t="shared" si="14"/>
        <v>0</v>
      </c>
      <c r="W21" s="54">
        <v>1.3333333333333333</v>
      </c>
      <c r="X21" s="13">
        <f t="shared" si="15"/>
        <v>3644081.2193103</v>
      </c>
      <c r="Y21" s="25">
        <f t="shared" si="15"/>
        <v>503.12008315342439</v>
      </c>
    </row>
    <row r="22" spans="1:25" x14ac:dyDescent="0.2">
      <c r="A22" s="10">
        <v>19</v>
      </c>
      <c r="B22" s="15">
        <f t="shared" si="13"/>
        <v>672.44758082524049</v>
      </c>
      <c r="C22" s="27">
        <f>(1-SUM(pHealthyStage1,pHealthyStage2,pHealthyStage3))*C21*(1-'Life Table - Male'!B66)</f>
        <v>172.51737141995449</v>
      </c>
      <c r="D22" s="19">
        <f t="shared" si="2"/>
        <v>0</v>
      </c>
      <c r="E22" s="20">
        <f t="shared" si="1"/>
        <v>65.589497535415319</v>
      </c>
      <c r="F22" s="27">
        <f>SUM(pHealthyStage1*C21,(1-SUM(pStage1Remission,pStage1Stage2))*F21,pStage2Stage1*I21,pRemissionStage1_trtA*O21)*(1-'Life Table - Male'!B66)</f>
        <v>57.754569172272753</v>
      </c>
      <c r="G22" s="19">
        <f t="shared" si="3"/>
        <v>35132.39870238924</v>
      </c>
      <c r="H22" s="20">
        <f t="shared" si="4"/>
        <v>19.322819286314083</v>
      </c>
      <c r="I22" s="27">
        <f>SUM(pHealthyStage2*C21,pStage1Stage2*F21,(1-SUM(pStage2Remission, pStage2Stage1, pStage2Stage3))*I21,pStage3Stage2*L21,pRemissionStage2_trtA*O21)*(1-'Life Table - Male'!B66)</f>
        <v>37.800779956018737</v>
      </c>
      <c r="J22" s="19">
        <f t="shared" si="5"/>
        <v>103474.83173524692</v>
      </c>
      <c r="K22" s="20">
        <f t="shared" si="6"/>
        <v>10.20376812944796</v>
      </c>
      <c r="L22" s="27">
        <f>SUM(pHealthyStage3*C21,pStage2Stage3*I21,(1-SUM(pStage3Death, pStage3Stage2))*L21)*(1-'Life Table - Male'!B66)</f>
        <v>16.258390479055649</v>
      </c>
      <c r="M22" s="19">
        <f t="shared" si="7"/>
        <v>143405.89565390229</v>
      </c>
      <c r="N22" s="20">
        <f t="shared" si="8"/>
        <v>2.2252638980777939</v>
      </c>
      <c r="O22" s="27">
        <f>SUM(pStage1Remission*F21,pStage2Remission*I21,(1-SUM(pRemissionStage1_trtA, pRemissionStage2_trtA))*O21)*(1-'Life Table - Male'!B66)</f>
        <v>388.11646979793892</v>
      </c>
      <c r="P22" s="19">
        <f t="shared" si="9"/>
        <v>1490338.4899756697</v>
      </c>
      <c r="Q22" s="20">
        <f t="shared" si="10"/>
        <v>140.18035301751345</v>
      </c>
      <c r="R22" s="27">
        <f>SUM(pStage3Death*L21*(1-'Life Table - Male'!B66),R21)</f>
        <v>186.4862033267253</v>
      </c>
      <c r="S22" s="19">
        <f t="shared" si="11"/>
        <v>0</v>
      </c>
      <c r="T22" s="23">
        <f t="shared" si="12"/>
        <v>0</v>
      </c>
      <c r="U22" s="237">
        <f>SUM(B21*'Life Table - Male'!B66,U21)</f>
        <v>141.06621584803457</v>
      </c>
      <c r="V22" s="49">
        <f t="shared" si="14"/>
        <v>0</v>
      </c>
      <c r="W22" s="54">
        <v>0.66666666666666663</v>
      </c>
      <c r="X22" s="13">
        <f t="shared" si="15"/>
        <v>1772351.6160672081</v>
      </c>
      <c r="Y22" s="25">
        <f t="shared" si="15"/>
        <v>237.52170186676864</v>
      </c>
    </row>
    <row r="23" spans="1:25" x14ac:dyDescent="0.2">
      <c r="A23" s="10">
        <v>20</v>
      </c>
      <c r="B23" s="15">
        <f t="shared" si="13"/>
        <v>653.54806220144144</v>
      </c>
      <c r="C23" s="27">
        <f>(1-SUM(pHealthyStage1,pHealthyStage2,pHealthyStage3))*C22*(1-'Life Table - Male'!B67)</f>
        <v>155.95194736396783</v>
      </c>
      <c r="D23" s="19">
        <f t="shared" si="2"/>
        <v>0</v>
      </c>
      <c r="E23" s="20">
        <f t="shared" si="1"/>
        <v>115.12908276476334</v>
      </c>
      <c r="F23" s="27">
        <f>SUM(pHealthyStage1*C22,(1-SUM(pStage1Remission,pStage1Stage2))*F22,pStage2Stage1*I22,pRemissionStage1_trtA*O22)*(1-'Life Table - Male'!B67)</f>
        <v>54.846625720830986</v>
      </c>
      <c r="G23" s="19">
        <f t="shared" si="3"/>
        <v>64783.459969187694</v>
      </c>
      <c r="H23" s="20">
        <f t="shared" si="4"/>
        <v>35.630902983053232</v>
      </c>
      <c r="I23" s="27">
        <f>SUM(pHealthyStage2*C22,pStage1Stage2*F22,(1-SUM(pStage2Remission, pStage2Stage1, pStage2Stage3))*I22,pStage3Stage2*L22,pRemissionStage2_trtA*O22)*(1-'Life Table - Male'!B67)</f>
        <v>35.962962364881413</v>
      </c>
      <c r="J23" s="19">
        <f t="shared" si="5"/>
        <v>191153.47497744477</v>
      </c>
      <c r="K23" s="20">
        <f t="shared" si="6"/>
        <v>18.8498565602758</v>
      </c>
      <c r="L23" s="27">
        <f>SUM(pHealthyStage3*C22,pStage2Stage3*I22,(1-SUM(pStage3Death, pStage3Stage2))*L22)*(1-'Life Table - Male'!B67)</f>
        <v>15.254127462467862</v>
      </c>
      <c r="M23" s="19">
        <f t="shared" si="7"/>
        <v>261258.00030917861</v>
      </c>
      <c r="N23" s="20">
        <f t="shared" si="8"/>
        <v>4.0540034530734612</v>
      </c>
      <c r="O23" s="27">
        <f>SUM(pStage1Remission*F22,pStage2Remission*I22,(1-SUM(pRemissionStage1_trtA, pRemissionStage2_trtA))*O22)*(1-'Life Table - Male'!B67)</f>
        <v>391.53239928929338</v>
      </c>
      <c r="P23" s="19">
        <f t="shared" si="9"/>
        <v>2919330.8857271145</v>
      </c>
      <c r="Q23" s="20">
        <f t="shared" si="10"/>
        <v>274.59052885552069</v>
      </c>
      <c r="R23" s="27">
        <f>SUM(pStage3Death*L22*(1-'Life Table - Male'!B67),R22)</f>
        <v>193.67506630718171</v>
      </c>
      <c r="S23" s="19">
        <f t="shared" si="11"/>
        <v>0</v>
      </c>
      <c r="T23" s="23">
        <f t="shared" si="12"/>
        <v>0</v>
      </c>
      <c r="U23" s="237">
        <f>SUM(B22*'Life Table - Male'!B67,U22)</f>
        <v>152.77687149137719</v>
      </c>
      <c r="V23" s="49">
        <f t="shared" si="14"/>
        <v>0</v>
      </c>
      <c r="W23" s="54">
        <v>1.3333333333333333</v>
      </c>
      <c r="X23" s="13">
        <f t="shared" si="15"/>
        <v>3436525.8209829256</v>
      </c>
      <c r="Y23" s="25">
        <f t="shared" si="15"/>
        <v>448.2543746166865</v>
      </c>
    </row>
    <row r="24" spans="1:25" x14ac:dyDescent="0.2">
      <c r="A24" s="10">
        <v>21</v>
      </c>
      <c r="B24" s="15">
        <f t="shared" si="13"/>
        <v>634.80583404160916</v>
      </c>
      <c r="C24" s="27">
        <f>(1-SUM(pHealthyStage1,pHealthyStage2,pHealthyStage3))*C23*(1-'Life Table - Male'!B68)</f>
        <v>140.84052041719275</v>
      </c>
      <c r="D24" s="19">
        <f t="shared" si="2"/>
        <v>0</v>
      </c>
      <c r="E24" s="20">
        <f t="shared" si="1"/>
        <v>50.47247984594506</v>
      </c>
      <c r="F24" s="27">
        <f>SUM(pHealthyStage1*C23,(1-SUM(pStage1Remission,pStage1Stage2))*F23,pStage2Stage1*I23,pRemissionStage1_trtA*O23)*(1-'Life Table - Male'!B68)</f>
        <v>52.10182146299784</v>
      </c>
      <c r="G24" s="19">
        <f t="shared" si="3"/>
        <v>29874.449494376291</v>
      </c>
      <c r="H24" s="20">
        <f t="shared" si="4"/>
        <v>16.430947221906962</v>
      </c>
      <c r="I24" s="27">
        <f>SUM(pHealthyStage2*C23,pStage1Stage2*F23,(1-SUM(pStage2Remission, pStage2Stage1, pStage2Stage3))*I23,pStage3Stage2*L23,pRemissionStage2_trtA*O23)*(1-'Life Table - Male'!B68)</f>
        <v>34.219232234347601</v>
      </c>
      <c r="J24" s="19">
        <f t="shared" si="5"/>
        <v>88293.712846740586</v>
      </c>
      <c r="K24" s="20">
        <f t="shared" si="6"/>
        <v>8.7067411279424753</v>
      </c>
      <c r="L24" s="27">
        <f>SUM(pHealthyStage3*C23,pStage2Stage3*I23,(1-SUM(pStage3Death, pStage3Stage2))*L23)*(1-'Life Table - Male'!B68)</f>
        <v>14.313212613578537</v>
      </c>
      <c r="M24" s="19">
        <f t="shared" si="7"/>
        <v>119001.41611439292</v>
      </c>
      <c r="N24" s="20">
        <f t="shared" si="8"/>
        <v>1.8465736983267866</v>
      </c>
      <c r="O24" s="27">
        <f>SUM(pStage1Remission*F23,pStage2Remission*I23,(1-SUM(pRemissionStage1_trtA, pRemissionStage2_trtA))*O23)*(1-'Life Table - Male'!B68)</f>
        <v>393.33104731349249</v>
      </c>
      <c r="P24" s="19">
        <f t="shared" si="9"/>
        <v>1423661.1191512037</v>
      </c>
      <c r="Q24" s="20">
        <f t="shared" si="10"/>
        <v>133.9087191280835</v>
      </c>
      <c r="R24" s="27">
        <f>SUM(pStage3Death*L23*(1-'Life Table - Male'!B68),R23)</f>
        <v>200.41334355963033</v>
      </c>
      <c r="S24" s="19">
        <f t="shared" si="11"/>
        <v>0</v>
      </c>
      <c r="T24" s="23">
        <f t="shared" si="12"/>
        <v>0</v>
      </c>
      <c r="U24" s="237">
        <f>SUM(B23*'Life Table - Male'!B68,U23)</f>
        <v>164.78082239876082</v>
      </c>
      <c r="V24" s="49">
        <f t="shared" si="14"/>
        <v>0</v>
      </c>
      <c r="W24" s="54">
        <v>0.66666666666666663</v>
      </c>
      <c r="X24" s="13">
        <f t="shared" si="15"/>
        <v>1660830.6976067135</v>
      </c>
      <c r="Y24" s="25">
        <f t="shared" si="15"/>
        <v>211.36546102220478</v>
      </c>
    </row>
    <row r="25" spans="1:25" x14ac:dyDescent="0.2">
      <c r="A25" s="10">
        <v>22</v>
      </c>
      <c r="B25" s="15">
        <f t="shared" si="13"/>
        <v>616.01113220360139</v>
      </c>
      <c r="C25" s="27">
        <f>(1-SUM(pHealthyStage1,pHealthyStage2,pHealthyStage3))*C24*(1-'Life Table - Male'!B69)</f>
        <v>127.02584699564626</v>
      </c>
      <c r="D25" s="19">
        <f t="shared" si="2"/>
        <v>0</v>
      </c>
      <c r="E25" s="20">
        <f t="shared" si="1"/>
        <v>88.391782620381989</v>
      </c>
      <c r="F25" s="27">
        <f>SUM(pHealthyStage1*C24,(1-SUM(pStage1Remission,pStage1Stage2))*F24,pStage2Stage1*I24,pRemissionStage1_trtA*O24)*(1-'Life Table - Male'!B69)</f>
        <v>49.493233616811679</v>
      </c>
      <c r="G25" s="19">
        <f t="shared" si="3"/>
        <v>55104.314600626982</v>
      </c>
      <c r="H25" s="20">
        <f t="shared" si="4"/>
        <v>30.307373030344845</v>
      </c>
      <c r="I25" s="27">
        <f>SUM(pHealthyStage2*C24,pStage1Stage2*F24,(1-SUM(pStage2Remission, pStage2Stage1, pStage2Stage3))*I24,pStage3Stage2*L24,pRemissionStage2_trtA*O24)*(1-'Life Table - Male'!B69)</f>
        <v>32.554638075529269</v>
      </c>
      <c r="J25" s="19">
        <f t="shared" si="5"/>
        <v>163104.20621342794</v>
      </c>
      <c r="K25" s="20">
        <f t="shared" si="6"/>
        <v>16.083887001601923</v>
      </c>
      <c r="L25" s="27">
        <f>SUM(pHealthyStage3*C24,pStage2Stage3*I24,(1-SUM(pStage3Death, pStage3Stage2))*L24)*(1-'Life Table - Male'!B69)</f>
        <v>13.42859347046889</v>
      </c>
      <c r="M25" s="19">
        <f t="shared" si="7"/>
        <v>216789.53030348636</v>
      </c>
      <c r="N25" s="20">
        <f t="shared" si="8"/>
        <v>3.3639754702265123</v>
      </c>
      <c r="O25" s="27">
        <f>SUM(pStage1Remission*F24,pStage2Remission*I24,(1-SUM(pRemissionStage1_trtA, pRemissionStage2_trtA))*O24)*(1-'Life Table - Male'!B69)</f>
        <v>393.50882004514534</v>
      </c>
      <c r="P25" s="19">
        <f t="shared" si="9"/>
        <v>2765639.9364645784</v>
      </c>
      <c r="Q25" s="20">
        <f t="shared" si="10"/>
        <v>260.13444946944054</v>
      </c>
      <c r="R25" s="27">
        <f>SUM(pStage3Death*L24*(1-'Life Table - Male'!B69),R24)</f>
        <v>206.72765919353435</v>
      </c>
      <c r="S25" s="19">
        <f t="shared" si="11"/>
        <v>0</v>
      </c>
      <c r="T25" s="23">
        <f t="shared" si="12"/>
        <v>0</v>
      </c>
      <c r="U25" s="237">
        <f>SUM(B24*'Life Table - Male'!B69,U24)</f>
        <v>177.26120860286457</v>
      </c>
      <c r="V25" s="49">
        <f t="shared" si="14"/>
        <v>0</v>
      </c>
      <c r="W25" s="54">
        <v>1.3333333333333333</v>
      </c>
      <c r="X25" s="13">
        <f t="shared" si="15"/>
        <v>3200637.9875821196</v>
      </c>
      <c r="Y25" s="25">
        <f t="shared" si="15"/>
        <v>398.28146759199581</v>
      </c>
    </row>
    <row r="26" spans="1:25" x14ac:dyDescent="0.2">
      <c r="A26" s="10">
        <v>23</v>
      </c>
      <c r="B26" s="15">
        <f t="shared" si="13"/>
        <v>597.16095833106647</v>
      </c>
      <c r="C26" s="27">
        <f>(1-SUM(pHealthyStage1,pHealthyStage2,pHealthyStage3))*C25*(1-'Life Table - Male'!B70)</f>
        <v>114.41002817830697</v>
      </c>
      <c r="D26" s="19">
        <f t="shared" si="2"/>
        <v>0</v>
      </c>
      <c r="E26" s="20">
        <f t="shared" si="1"/>
        <v>38.647078143704661</v>
      </c>
      <c r="F26" s="27">
        <f>SUM(pHealthyStage1*C25,(1-SUM(pStage1Remission,pStage1Stage2))*F25,pStage2Stage1*I25,pRemissionStage1_trtA*O25)*(1-'Life Table - Male'!B70)</f>
        <v>47.011546209402084</v>
      </c>
      <c r="G26" s="19">
        <f t="shared" si="3"/>
        <v>25408.386714907014</v>
      </c>
      <c r="H26" s="20">
        <f t="shared" si="4"/>
        <v>13.974612693198857</v>
      </c>
      <c r="I26" s="27">
        <f>SUM(pHealthyStage2*C25,pStage1Stage2*F25,(1-SUM(pStage2Remission, pStage2Stage1, pStage2Stage3))*I25,pStage3Stage2*L25,pRemissionStage2_trtA*O25)*(1-'Life Table - Male'!B70)</f>
        <v>30.965034154403781</v>
      </c>
      <c r="J26" s="19">
        <f t="shared" si="5"/>
        <v>75310.691020224302</v>
      </c>
      <c r="K26" s="20">
        <f t="shared" si="6"/>
        <v>7.4264709200498968</v>
      </c>
      <c r="L26" s="27">
        <f>SUM(pHealthyStage3*C25,pStage2Stage3*I25,(1-SUM(pStage3Death, pStage3Stage2))*L25)*(1-'Life Table - Male'!B70)</f>
        <v>12.597570903278459</v>
      </c>
      <c r="M26" s="19">
        <f t="shared" si="7"/>
        <v>98725.051510147794</v>
      </c>
      <c r="N26" s="20">
        <f t="shared" si="8"/>
        <v>1.5319404544678104</v>
      </c>
      <c r="O26" s="27">
        <f>SUM(pStage1Remission*F25,pStage2Remission*I25,(1-SUM(pRemissionStage1_trtA, pRemissionStage2_trtA))*O25)*(1-'Life Table - Male'!B70)</f>
        <v>392.17677888567516</v>
      </c>
      <c r="P26" s="19">
        <f t="shared" si="9"/>
        <v>1337999.1010998639</v>
      </c>
      <c r="Q26" s="20">
        <f t="shared" si="10"/>
        <v>125.85140059850205</v>
      </c>
      <c r="R26" s="27">
        <f>SUM(pStage3Death*L25*(1-'Life Table - Male'!B70),R25)</f>
        <v>212.64364612573837</v>
      </c>
      <c r="S26" s="19">
        <f t="shared" si="11"/>
        <v>0</v>
      </c>
      <c r="T26" s="23">
        <f t="shared" si="12"/>
        <v>0</v>
      </c>
      <c r="U26" s="237">
        <f>SUM(B25*'Life Table - Male'!B70,U25)</f>
        <v>190.1953955431955</v>
      </c>
      <c r="V26" s="49">
        <f t="shared" si="14"/>
        <v>0</v>
      </c>
      <c r="W26" s="54">
        <v>0.66666666666666663</v>
      </c>
      <c r="X26" s="13">
        <f t="shared" si="15"/>
        <v>1537443.230345143</v>
      </c>
      <c r="Y26" s="25">
        <f t="shared" si="15"/>
        <v>187.43150280992327</v>
      </c>
    </row>
    <row r="27" spans="1:25" x14ac:dyDescent="0.2">
      <c r="A27" s="10">
        <v>24</v>
      </c>
      <c r="B27" s="15">
        <f t="shared" si="13"/>
        <v>578.20803327745955</v>
      </c>
      <c r="C27" s="27">
        <f>(1-SUM(pHealthyStage1,pHealthyStage2,pHealthyStage3))*C26*(1-'Life Table - Male'!B71)</f>
        <v>102.89330759931752</v>
      </c>
      <c r="D27" s="19">
        <f t="shared" si="2"/>
        <v>0</v>
      </c>
      <c r="E27" s="20">
        <f t="shared" si="1"/>
        <v>67.488919002216932</v>
      </c>
      <c r="F27" s="27">
        <f>SUM(pHealthyStage1*C26,(1-SUM(pStage1Remission,pStage1Stage2))*F26,pStage2Stage1*I26,pRemissionStage1_trtA*O26)*(1-'Life Table - Male'!B71)</f>
        <v>44.644119138164484</v>
      </c>
      <c r="G27" s="19">
        <f t="shared" si="3"/>
        <v>46852.156444210035</v>
      </c>
      <c r="H27" s="20">
        <f t="shared" si="4"/>
        <v>25.768686044315519</v>
      </c>
      <c r="I27" s="27">
        <f>SUM(pHealthyStage2*C26,pStage1Stage2*F26,(1-SUM(pStage2Remission, pStage2Stage1, pStage2Stage3))*I26,pStage3Stage2*L26,pRemissionStage2_trtA*O26)*(1-'Life Table - Male'!B71)</f>
        <v>29.443571806936266</v>
      </c>
      <c r="J27" s="19">
        <f t="shared" si="5"/>
        <v>139049.14838560126</v>
      </c>
      <c r="K27" s="20">
        <f t="shared" si="6"/>
        <v>13.711791021357902</v>
      </c>
      <c r="L27" s="27">
        <f>SUM(pHealthyStage3*C26,pStage2Stage3*I26,(1-SUM(pStage3Death, pStage3Stage2))*L26)*(1-'Life Table - Male'!B71)</f>
        <v>11.816170698855265</v>
      </c>
      <c r="M27" s="19">
        <f t="shared" si="7"/>
        <v>179808.44483443818</v>
      </c>
      <c r="N27" s="20">
        <f t="shared" si="8"/>
        <v>2.7901310405343853</v>
      </c>
      <c r="O27" s="27">
        <f>SUM(pStage1Remission*F26,pStage2Remission*I26,(1-SUM(pRemissionStage1_trtA, pRemissionStage2_trtA))*O26)*(1-'Life Table - Male'!B71)</f>
        <v>389.41086403418603</v>
      </c>
      <c r="P27" s="19">
        <f t="shared" si="9"/>
        <v>2579733.1297158557</v>
      </c>
      <c r="Q27" s="20">
        <f t="shared" si="10"/>
        <v>242.64816566634281</v>
      </c>
      <c r="R27" s="27">
        <f>SUM(pStage3Death*L26*(1-'Life Table - Male'!B71),R26)</f>
        <v>218.18523794481962</v>
      </c>
      <c r="S27" s="19">
        <f t="shared" si="11"/>
        <v>0</v>
      </c>
      <c r="T27" s="23">
        <f t="shared" si="12"/>
        <v>0</v>
      </c>
      <c r="U27" s="237">
        <f>SUM(B26*'Life Table - Male'!B71,U26)</f>
        <v>203.60672877772112</v>
      </c>
      <c r="V27" s="49">
        <f t="shared" si="14"/>
        <v>0</v>
      </c>
      <c r="W27" s="54">
        <v>1.3333333333333333</v>
      </c>
      <c r="X27" s="13">
        <f t="shared" si="15"/>
        <v>2945442.8793801051</v>
      </c>
      <c r="Y27" s="25">
        <f t="shared" si="15"/>
        <v>352.40769277476755</v>
      </c>
    </row>
    <row r="28" spans="1:25" x14ac:dyDescent="0.2">
      <c r="A28" s="10">
        <v>25</v>
      </c>
      <c r="B28" s="15">
        <f t="shared" si="13"/>
        <v>559.14641555185187</v>
      </c>
      <c r="C28" s="27">
        <f>(1-SUM(pHealthyStage1,pHealthyStage2,pHealthyStage3))*C27*(1-'Life Table - Male'!B72)</f>
        <v>92.390791090689746</v>
      </c>
      <c r="D28" s="19">
        <f t="shared" si="2"/>
        <v>0</v>
      </c>
      <c r="E28" s="20">
        <f t="shared" si="1"/>
        <v>29.417570915602635</v>
      </c>
      <c r="F28" s="27">
        <f>SUM(pHealthyStage1*C27,(1-SUM(pStage1Remission,pStage1Stage2))*F27,pStage2Stage1*I27,pRemissionStage1_trtA*O27)*(1-'Life Table - Male'!B72)</f>
        <v>42.381950773178779</v>
      </c>
      <c r="G28" s="19">
        <f t="shared" si="3"/>
        <v>21591.3127738066</v>
      </c>
      <c r="H28" s="20">
        <f t="shared" si="4"/>
        <v>11.875222025593629</v>
      </c>
      <c r="I28" s="27">
        <f>SUM(pHealthyStage2*C27,pStage1Stage2*F27,(1-SUM(pStage2Remission, pStage2Stage1, pStage2Stage3))*I27,pStage3Stage2*L27,pRemissionStage2_trtA*O27)*(1-'Life Table - Male'!B72)</f>
        <v>27.985430320876173</v>
      </c>
      <c r="J28" s="19">
        <f t="shared" si="5"/>
        <v>64156.787421285961</v>
      </c>
      <c r="K28" s="20">
        <f t="shared" si="6"/>
        <v>6.3265720929323654</v>
      </c>
      <c r="L28" s="27">
        <f>SUM(pHealthyStage3*C27,pStage2Stage3*I27,(1-SUM(pStage3Death, pStage3Stage2))*L27)*(1-'Life Table - Male'!B72)</f>
        <v>11.08116872389313</v>
      </c>
      <c r="M28" s="19">
        <f t="shared" si="7"/>
        <v>81856.218131906571</v>
      </c>
      <c r="N28" s="20">
        <f t="shared" si="8"/>
        <v>1.2701826951502744</v>
      </c>
      <c r="O28" s="27">
        <f>SUM(pStage1Remission*F27,pStage2Remission*I27,(1-SUM(pRemissionStage1_trtA, pRemissionStage2_trtA))*O27)*(1-'Life Table - Male'!B72)</f>
        <v>385.30707464321404</v>
      </c>
      <c r="P28" s="19">
        <f t="shared" si="9"/>
        <v>1239100.3518184815</v>
      </c>
      <c r="Q28" s="20">
        <f t="shared" si="10"/>
        <v>116.54904299282742</v>
      </c>
      <c r="R28" s="27">
        <f>SUM(pStage3Death*L27*(1-'Life Table - Male'!B72),R27)</f>
        <v>223.37494686886006</v>
      </c>
      <c r="S28" s="19">
        <f t="shared" si="11"/>
        <v>0</v>
      </c>
      <c r="T28" s="23">
        <f t="shared" si="12"/>
        <v>0</v>
      </c>
      <c r="U28" s="237">
        <f>SUM(B27*'Life Table - Male'!B72,U27)</f>
        <v>217.47863757928837</v>
      </c>
      <c r="V28" s="49">
        <f t="shared" si="14"/>
        <v>0</v>
      </c>
      <c r="W28" s="54">
        <v>0.66666666666666663</v>
      </c>
      <c r="X28" s="13">
        <f t="shared" si="15"/>
        <v>1406704.6701454807</v>
      </c>
      <c r="Y28" s="25">
        <f t="shared" si="15"/>
        <v>165.43859072210634</v>
      </c>
    </row>
    <row r="29" spans="1:25" x14ac:dyDescent="0.2">
      <c r="A29" s="10">
        <v>26</v>
      </c>
      <c r="B29" s="15">
        <f t="shared" si="13"/>
        <v>540.08071380577348</v>
      </c>
      <c r="C29" s="27">
        <f>(1-SUM(pHealthyStage1,pHealthyStage2,pHealthyStage3))*C28*(1-'Life Table - Male'!B73)</f>
        <v>82.84000070847155</v>
      </c>
      <c r="D29" s="19">
        <f t="shared" si="2"/>
        <v>0</v>
      </c>
      <c r="E29" s="20">
        <f t="shared" si="1"/>
        <v>51.216628732693636</v>
      </c>
      <c r="F29" s="27">
        <f>SUM(pHealthyStage1*C28,(1-SUM(pStage1Remission,pStage1Stage2))*F28,pStage2Stage1*I28,pRemissionStage1_trtA*O28)*(1-'Life Table - Male'!B73)</f>
        <v>40.224618998305964</v>
      </c>
      <c r="G29" s="19">
        <f t="shared" si="3"/>
        <v>39790.813317839304</v>
      </c>
      <c r="H29" s="20">
        <f t="shared" si="4"/>
        <v>21.884947324811616</v>
      </c>
      <c r="I29" s="27">
        <f>SUM(pHealthyStage2*C28,pStage1Stage2*F28,(1-SUM(pStage2Remission, pStage2Stage1, pStage2Stage3))*I28,pStage3Stage2*L28,pRemissionStage2_trtA*O28)*(1-'Life Table - Male'!B73)</f>
        <v>26.591201513481714</v>
      </c>
      <c r="J29" s="19">
        <f t="shared" si="5"/>
        <v>118369.91940534</v>
      </c>
      <c r="K29" s="20">
        <f t="shared" si="6"/>
        <v>11.67258927469325</v>
      </c>
      <c r="L29" s="27">
        <f>SUM(pHealthyStage3*C28,pStage2Stage3*I28,(1-SUM(pStage3Death, pStage3Stage2))*L28)*(1-'Life Table - Male'!B73)</f>
        <v>10.391416604653644</v>
      </c>
      <c r="M29" s="19">
        <f t="shared" si="7"/>
        <v>149050.56812335979</v>
      </c>
      <c r="N29" s="20">
        <f t="shared" si="8"/>
        <v>2.3128536432935141</v>
      </c>
      <c r="O29" s="27">
        <f>SUM(pStage1Remission*F28,pStage2Remission*I28,(1-SUM(pRemissionStage1_trtA, pRemissionStage2_trtA))*O28)*(1-'Life Table - Male'!B73)</f>
        <v>380.0334759808606</v>
      </c>
      <c r="P29" s="19">
        <f t="shared" si="9"/>
        <v>2373089.5233743615</v>
      </c>
      <c r="Q29" s="20">
        <f t="shared" si="10"/>
        <v>223.21139081243993</v>
      </c>
      <c r="R29" s="27">
        <f>SUM(pStage3Death*L28*(1-'Life Table - Male'!B73),R28)</f>
        <v>228.23478341027445</v>
      </c>
      <c r="S29" s="19">
        <f t="shared" si="11"/>
        <v>0</v>
      </c>
      <c r="T29" s="23">
        <f t="shared" si="12"/>
        <v>0</v>
      </c>
      <c r="U29" s="237">
        <f>SUM(B28*'Life Table - Male'!B73,U28)</f>
        <v>231.68450278395238</v>
      </c>
      <c r="V29" s="49">
        <f t="shared" si="14"/>
        <v>0</v>
      </c>
      <c r="W29" s="54">
        <v>1.3333333333333333</v>
      </c>
      <c r="X29" s="13">
        <f t="shared" si="15"/>
        <v>2680300.8242209004</v>
      </c>
      <c r="Y29" s="25">
        <f t="shared" si="15"/>
        <v>310.29840978793197</v>
      </c>
    </row>
    <row r="30" spans="1:25" x14ac:dyDescent="0.2">
      <c r="A30" s="10">
        <v>27</v>
      </c>
      <c r="B30" s="15">
        <f t="shared" si="13"/>
        <v>520.86257758885938</v>
      </c>
      <c r="C30" s="27">
        <f>(1-SUM(pHealthyStage1,pHealthyStage2,pHealthyStage3))*C29*(1-'Life Table - Male'!B74)</f>
        <v>74.142802559870745</v>
      </c>
      <c r="D30" s="19">
        <f t="shared" si="2"/>
        <v>0</v>
      </c>
      <c r="E30" s="20">
        <f t="shared" si="1"/>
        <v>22.252185517492631</v>
      </c>
      <c r="F30" s="27">
        <f>SUM(pHealthyStage1*C29,(1-SUM(pStage1Remission,pStage1Stage2))*F29,pStage2Stage1*I29,pRemissionStage1_trtA*O29)*(1-'Life Table - Male'!B74)</f>
        <v>38.153034733585422</v>
      </c>
      <c r="G30" s="19">
        <f t="shared" si="3"/>
        <v>18321.150593389451</v>
      </c>
      <c r="H30" s="20">
        <f t="shared" si="4"/>
        <v>10.076632826364198</v>
      </c>
      <c r="I30" s="27">
        <f>SUM(pHealthyStage2*C29,pStage1Stage2*F29,(1-SUM(pStage2Remission, pStage2Stage1, pStage2Stage3))*I29,pStage3Stage2*L29,pRemissionStage2_trtA*O29)*(1-'Life Table - Male'!B74)</f>
        <v>25.248960906099505</v>
      </c>
      <c r="J30" s="19">
        <f t="shared" si="5"/>
        <v>54560.668173014055</v>
      </c>
      <c r="K30" s="20">
        <f t="shared" si="6"/>
        <v>5.3802881115055516</v>
      </c>
      <c r="L30" s="27">
        <f>SUM(pHealthyStage3*C29,pStage2Stage3*I29,(1-SUM(pStage3Death, pStage3Stage2))*L29)*(1-'Life Table - Male'!B74)</f>
        <v>9.7408335237851507</v>
      </c>
      <c r="M30" s="19">
        <f t="shared" si="7"/>
        <v>67824.684131638409</v>
      </c>
      <c r="N30" s="20">
        <f t="shared" si="8"/>
        <v>1.0524519951461131</v>
      </c>
      <c r="O30" s="27">
        <f>SUM(pStage1Remission*F29,pStage2Remission*I29,(1-SUM(pRemissionStage1_trtA, pRemissionStage2_trtA))*O29)*(1-'Life Table - Male'!B74)</f>
        <v>373.57694586551855</v>
      </c>
      <c r="P30" s="19">
        <f t="shared" si="9"/>
        <v>1132413.7002674742</v>
      </c>
      <c r="Q30" s="20">
        <f t="shared" si="10"/>
        <v>106.51415992614857</v>
      </c>
      <c r="R30" s="27">
        <f>SUM(pStage3Death*L29*(1-'Life Table - Male'!B74),R29)</f>
        <v>232.78391340380827</v>
      </c>
      <c r="S30" s="19">
        <f t="shared" si="11"/>
        <v>0</v>
      </c>
      <c r="T30" s="23">
        <f t="shared" si="12"/>
        <v>0</v>
      </c>
      <c r="U30" s="237">
        <f>SUM(B29*'Life Table - Male'!B74,U29)</f>
        <v>246.35350900733272</v>
      </c>
      <c r="V30" s="49">
        <f t="shared" si="14"/>
        <v>0</v>
      </c>
      <c r="W30" s="54">
        <v>0.66666666666666663</v>
      </c>
      <c r="X30" s="13">
        <f t="shared" si="15"/>
        <v>1273120.203165516</v>
      </c>
      <c r="Y30" s="25">
        <f t="shared" si="15"/>
        <v>145.27571837665707</v>
      </c>
    </row>
    <row r="31" spans="1:25" x14ac:dyDescent="0.2">
      <c r="A31" s="10">
        <v>28</v>
      </c>
      <c r="B31" s="15">
        <f t="shared" si="13"/>
        <v>501.36816937844253</v>
      </c>
      <c r="C31" s="27">
        <f>(1-SUM(pHealthyStage1,pHealthyStage2,pHealthyStage3))*C30*(1-'Life Table - Male'!B75)</f>
        <v>66.215665085678538</v>
      </c>
      <c r="D31" s="19">
        <f t="shared" si="2"/>
        <v>0</v>
      </c>
      <c r="E31" s="20">
        <f t="shared" si="1"/>
        <v>38.588437206224917</v>
      </c>
      <c r="F31" s="27">
        <f>SUM(pHealthyStage1*C30,(1-SUM(pStage1Remission,pStage1Stage2))*F30,pStage2Stage1*I30,pRemissionStage1_trtA*O30)*(1-'Life Table - Male'!B75)</f>
        <v>36.151022521967739</v>
      </c>
      <c r="G31" s="19">
        <f t="shared" si="3"/>
        <v>33708.312635077527</v>
      </c>
      <c r="H31" s="20">
        <f t="shared" si="4"/>
        <v>18.53957194929264</v>
      </c>
      <c r="I31" s="27">
        <f>SUM(pHealthyStage2*C30,pStage1Stage2*F30,(1-SUM(pStage2Remission, pStage2Stage1, pStage2Stage3))*I30,pStage3Stage2*L30,pRemissionStage2_trtA*O30)*(1-'Life Table - Male'!B75)</f>
        <v>23.948547695980537</v>
      </c>
      <c r="J31" s="19">
        <f t="shared" si="5"/>
        <v>100486.59331302</v>
      </c>
      <c r="K31" s="20">
        <f t="shared" si="6"/>
        <v>9.9090946183672504</v>
      </c>
      <c r="L31" s="27">
        <f>SUM(pHealthyStage3*C30,pStage2Stage3*I30,(1-SUM(pStage3Death, pStage3Stage2))*L30)*(1-'Life Table - Male'!B75)</f>
        <v>9.124189553676187</v>
      </c>
      <c r="M31" s="19">
        <f t="shared" si="7"/>
        <v>123361.24076537254</v>
      </c>
      <c r="N31" s="20">
        <f t="shared" si="8"/>
        <v>1.9142261498075048</v>
      </c>
      <c r="O31" s="27">
        <f>SUM(pStage1Remission*F30,pStage2Remission*I30,(1-SUM(pRemissionStage1_trtA, pRemissionStage2_trtA))*O30)*(1-'Life Table - Male'!B75)</f>
        <v>365.92874452113955</v>
      </c>
      <c r="P31" s="19">
        <f t="shared" si="9"/>
        <v>2153844.493633335</v>
      </c>
      <c r="Q31" s="20">
        <f t="shared" si="10"/>
        <v>202.58933355957112</v>
      </c>
      <c r="R31" s="27">
        <f>SUM(pStage3Death*L30*(1-'Life Table - Male'!B75),R30)</f>
        <v>237.03904068050576</v>
      </c>
      <c r="S31" s="19">
        <f t="shared" si="11"/>
        <v>0</v>
      </c>
      <c r="T31" s="23">
        <f t="shared" si="12"/>
        <v>0</v>
      </c>
      <c r="U31" s="237">
        <f>SUM(B30*'Life Table - Male'!B75,U30)</f>
        <v>261.59278994105205</v>
      </c>
      <c r="V31" s="49">
        <f t="shared" si="14"/>
        <v>0</v>
      </c>
      <c r="W31" s="54">
        <v>1.3333333333333333</v>
      </c>
      <c r="X31" s="13">
        <f t="shared" si="15"/>
        <v>2411400.6403468051</v>
      </c>
      <c r="Y31" s="25">
        <f t="shared" si="15"/>
        <v>271.54066348326342</v>
      </c>
    </row>
    <row r="32" spans="1:25" x14ac:dyDescent="0.2">
      <c r="A32" s="10">
        <v>29</v>
      </c>
      <c r="B32" s="15">
        <f t="shared" si="13"/>
        <v>481.67265078064338</v>
      </c>
      <c r="C32" s="27">
        <f>(1-SUM(pHealthyStage1,pHealthyStage2,pHealthyStage3))*C31*(1-'Life Table - Male'!B76)</f>
        <v>59.008563228056182</v>
      </c>
      <c r="D32" s="19">
        <f t="shared" si="2"/>
        <v>0</v>
      </c>
      <c r="E32" s="20">
        <f t="shared" si="1"/>
        <v>16.693379433637904</v>
      </c>
      <c r="F32" s="27">
        <f>SUM(pHealthyStage1*C31,(1-SUM(pStage1Remission,pStage1Stage2))*F31,pStage2Stage1*I31,pRemissionStage1_trtA*O31)*(1-'Life Table - Male'!B76)</f>
        <v>34.217480253900888</v>
      </c>
      <c r="G32" s="19">
        <f t="shared" si="3"/>
        <v>15488.067491053103</v>
      </c>
      <c r="H32" s="20">
        <f t="shared" si="4"/>
        <v>8.5184371200792057</v>
      </c>
      <c r="I32" s="27">
        <f>SUM(pHealthyStage2*C31,pStage1Stage2*F31,(1-SUM(pStage2Remission, pStage2Stage1, pStage2Stage3))*I31,pStage3Stage2*L31,pRemissionStage2_trtA*O31)*(1-'Life Table - Male'!B76)</f>
        <v>22.689675704687858</v>
      </c>
      <c r="J32" s="19">
        <f t="shared" si="5"/>
        <v>46215.750465995457</v>
      </c>
      <c r="K32" s="20">
        <f t="shared" si="6"/>
        <v>4.5573865042856623</v>
      </c>
      <c r="L32" s="27">
        <f>SUM(pHealthyStage3*C31,pStage2Stage3*I31,(1-SUM(pStage3Death, pStage3Stage2))*L31)*(1-'Life Table - Male'!B76)</f>
        <v>8.5401270861428618</v>
      </c>
      <c r="M32" s="19">
        <f t="shared" si="7"/>
        <v>56050.764808155211</v>
      </c>
      <c r="N32" s="20">
        <f t="shared" si="8"/>
        <v>0.86975324702309809</v>
      </c>
      <c r="O32" s="27">
        <f>SUM(pStage1Remission*F31,pStage2Remission*I31,(1-SUM(pRemissionStage1_trtA, pRemissionStage2_trtA))*O31)*(1-'Life Table - Male'!B76)</f>
        <v>357.21680450785556</v>
      </c>
      <c r="P32" s="19">
        <f t="shared" si="9"/>
        <v>1020663.2537419433</v>
      </c>
      <c r="Q32" s="20">
        <f t="shared" si="10"/>
        <v>96.002979312361006</v>
      </c>
      <c r="R32" s="27">
        <f>SUM(pStage3Death*L31*(1-'Life Table - Male'!B76),R31)</f>
        <v>241.01620267160013</v>
      </c>
      <c r="S32" s="19">
        <f t="shared" si="11"/>
        <v>0</v>
      </c>
      <c r="T32" s="23">
        <f t="shared" si="12"/>
        <v>0</v>
      </c>
      <c r="U32" s="237">
        <f>SUM(B31*'Life Table - Male'!B76,U31)</f>
        <v>277.31114654775683</v>
      </c>
      <c r="V32" s="49">
        <f t="shared" si="14"/>
        <v>0</v>
      </c>
      <c r="W32" s="54">
        <v>0.66666666666666663</v>
      </c>
      <c r="X32" s="13">
        <f t="shared" si="15"/>
        <v>1138417.8365071469</v>
      </c>
      <c r="Y32" s="25">
        <f t="shared" si="15"/>
        <v>126.64193561738688</v>
      </c>
    </row>
    <row r="33" spans="1:25" ht="16" thickBot="1" x14ac:dyDescent="0.25">
      <c r="A33" s="11">
        <v>30</v>
      </c>
      <c r="B33" s="166">
        <f t="shared" si="13"/>
        <v>461.01946959328507</v>
      </c>
      <c r="C33" s="28">
        <f>(1-SUM(pHealthyStage1,pHealthyStage2,pHealthyStage3))*C32*(1-'Life Table - Male'!B77)</f>
        <v>52.378021652145783</v>
      </c>
      <c r="D33" s="21">
        <f t="shared" si="2"/>
        <v>0</v>
      </c>
      <c r="E33" s="22">
        <f t="shared" si="1"/>
        <v>7.1930171367738502</v>
      </c>
      <c r="F33" s="28">
        <f>SUM(pHealthyStage1*C32,(1-SUM(pStage1Remission,pStage1Stage2))*F32,pStage2Stage1*I32,pRemissionStage1_trtA*O32)*(1-'Life Table - Male'!B77)</f>
        <v>32.293108608485859</v>
      </c>
      <c r="G33" s="21">
        <f t="shared" si="3"/>
        <v>7095.6443574961741</v>
      </c>
      <c r="H33" s="22">
        <f t="shared" si="4"/>
        <v>3.902604396622896</v>
      </c>
      <c r="I33" s="28">
        <f>SUM(pHealthyStage2*C32,pStage1Stage2*F32,(1-SUM(pStage2Remission, pStage2Stage1, pStage2Stage3))*I32,pStage3Stage2*L32,pRemissionStage2_trtA*O32)*(1-'Life Table - Male'!B77)</f>
        <v>21.4333752934084</v>
      </c>
      <c r="J33" s="21">
        <f t="shared" si="5"/>
        <v>21192.640398287102</v>
      </c>
      <c r="K33" s="22">
        <f t="shared" si="6"/>
        <v>2.0898298170533116</v>
      </c>
      <c r="L33" s="28">
        <f>SUM(pHealthyStage3*C32,pStage2Stage3*I32,(1-SUM(pStage3Death, pStage3Stage2))*L32)*(1-'Life Table - Male'!B77)</f>
        <v>7.972885699942112</v>
      </c>
      <c r="M33" s="21">
        <f t="shared" si="7"/>
        <v>25401.86052314295</v>
      </c>
      <c r="N33" s="22">
        <f t="shared" si="8"/>
        <v>0.39416680122118364</v>
      </c>
      <c r="O33" s="28">
        <f>SUM(pStage1Remission*F32,pStage2Remission*I32,(1-SUM(pRemissionStage1_trtA, pRemissionStage2_trtA))*O32)*(1-'Life Table - Male'!B77)</f>
        <v>346.9420783393029</v>
      </c>
      <c r="P33" s="21">
        <f t="shared" si="9"/>
        <v>481216.32673556841</v>
      </c>
      <c r="Q33" s="22">
        <f t="shared" si="10"/>
        <v>45.262921821662381</v>
      </c>
      <c r="R33" s="28">
        <f>SUM(pStage3Death*L32*(1-'Life Table - Male'!B77),R32)</f>
        <v>244.72406047392374</v>
      </c>
      <c r="S33" s="21">
        <f t="shared" si="11"/>
        <v>0</v>
      </c>
      <c r="T33" s="24">
        <f t="shared" si="12"/>
        <v>0</v>
      </c>
      <c r="U33" s="177">
        <f>SUM(B32*'Life Table - Male'!B77,U32)</f>
        <v>294.25646993279162</v>
      </c>
      <c r="V33" s="49">
        <f t="shared" si="14"/>
        <v>0</v>
      </c>
      <c r="W33" s="54">
        <v>0.33333333333333331</v>
      </c>
      <c r="X33" s="13">
        <f t="shared" si="15"/>
        <v>534906.47201449459</v>
      </c>
      <c r="Y33" s="25">
        <f t="shared" si="15"/>
        <v>58.842539973333622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29" t="s">
        <v>80</v>
      </c>
      <c r="W34" s="53"/>
      <c r="X34" s="30">
        <f>SUM(X3:X33)</f>
        <v>66750940.802931659</v>
      </c>
      <c r="Y34" s="31">
        <f>SUM(Y3:Y33)</f>
        <v>14403.149927861437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X113"/>
  <sheetViews>
    <sheetView workbookViewId="0">
      <selection activeCell="P26" sqref="P26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7.164062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2000" width="8.83203125" style="1"/>
    <col min="2001" max="2001" width="2.33203125" style="1" customWidth="1"/>
    <col min="2002" max="16384" width="8.83203125" style="1"/>
  </cols>
  <sheetData>
    <row r="1" spans="1:24" x14ac:dyDescent="0.2">
      <c r="C1" s="213" t="s">
        <v>7</v>
      </c>
      <c r="D1" s="214"/>
      <c r="E1" s="215"/>
      <c r="F1" s="216" t="s">
        <v>8</v>
      </c>
      <c r="G1" s="217"/>
      <c r="H1" s="218"/>
      <c r="I1" s="219" t="s">
        <v>9</v>
      </c>
      <c r="J1" s="220"/>
      <c r="K1" s="221"/>
      <c r="L1" s="222" t="s">
        <v>10</v>
      </c>
      <c r="M1" s="223"/>
      <c r="N1" s="224"/>
      <c r="O1" s="225" t="s">
        <v>11</v>
      </c>
      <c r="P1" s="226"/>
      <c r="Q1" s="227"/>
      <c r="R1" s="210" t="s">
        <v>12</v>
      </c>
      <c r="S1" s="211"/>
      <c r="T1" s="212"/>
    </row>
    <row r="2" spans="1:24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>SUM(C3,F3,I3,L3,O3)</f>
        <v>1000</v>
      </c>
      <c r="C4" s="27">
        <f>(1-SUM(pHealthyStage1,pHealthyStage2,pHealthyStage3))*C3</f>
        <v>920</v>
      </c>
      <c r="D4" s="19">
        <f t="shared" ref="D4:D33" si="2">C4*0*V4/(1+discount_rate)^A4</f>
        <v>0</v>
      </c>
      <c r="E4" s="20">
        <f t="shared" si="1"/>
        <v>595.46925566343032</v>
      </c>
      <c r="F4" s="27">
        <f t="shared" ref="F4:F33" si="3">SUM(pHealthyStage1*C3,(1-SUM(pStage1Remission,pStage1Stage2))*F3,pStage2Stage1*I3,pRemissionStage1_trtA*O3)</f>
        <v>50</v>
      </c>
      <c r="G4" s="19">
        <f t="shared" ref="G4:G33" si="4">F4*SUM(nVisitsStage1*cVisit,cTreatmentStage1)*V4/(1+discount_rate)^A4</f>
        <v>51779.935275080898</v>
      </c>
      <c r="H4" s="20">
        <f t="shared" ref="H4:H33" si="5">F4*uStage1*V4/(1+discount_rate)^A4</f>
        <v>28.478964401294498</v>
      </c>
      <c r="I4" s="27">
        <f t="shared" ref="I4:I33" si="6">SUM(pHealthyStage2*C3,pStage1Stage2*F3,(1-SUM(pStage2Remission, pStage2Stage1, pStage2Stage3))*I3,pStage3Stage2*L3,pRemissionStage2_trtA*O3)</f>
        <v>20</v>
      </c>
      <c r="J4" s="19">
        <f t="shared" ref="J4:J33" si="7">I4*SUM(nVisitsStage2*cVisit,cTreatmentStage2)*V4/(1+discount_rate)^A4</f>
        <v>93203.883495145623</v>
      </c>
      <c r="K4" s="20">
        <f t="shared" ref="K4:K33" si="8">I4*uStage2*V4/(1+discount_rate)^A4</f>
        <v>9.1909385113268591</v>
      </c>
      <c r="L4" s="27">
        <f t="shared" ref="L4:L33" si="9">SUM(pHealthyStage3*C3,pStage2Stage3*I3,(1-SUM(pStage3Death, pStage3Stage2))*L3)</f>
        <v>10</v>
      </c>
      <c r="M4" s="19">
        <f t="shared" ref="M4:M33" si="10">L4*SUM(nVisitsStage3*cVisit,cTreatmentStage3)*V4/(1+discount_rate)^A4</f>
        <v>150161.81229773461</v>
      </c>
      <c r="N4" s="20">
        <f t="shared" ref="N4:N33" si="11">L4*uStage3*V4/(1+discount_rate)^A4</f>
        <v>2.3300970873786402</v>
      </c>
      <c r="O4" s="27">
        <f t="shared" ref="O4:O33" si="12">SUM(pStage1Remission*F3,pStage2Remission*I3,(1-SUM(pRemissionStage1_trtA, pRemissionStage2_trtA))*O3)</f>
        <v>0</v>
      </c>
      <c r="P4" s="19">
        <f t="shared" ref="P4:P33" si="13">O4*SUM(nVisitsRemission*cVisit, cTrtA)*V4/(1+discount_rate)^A4</f>
        <v>0</v>
      </c>
      <c r="Q4" s="20">
        <f t="shared" ref="Q4:Q33" si="14">O4*uRemission*V4/(1+discount_rate)^A4</f>
        <v>0</v>
      </c>
      <c r="R4" s="27">
        <f t="shared" ref="R4:R33" si="15">SUM(pStage3Death*L3,R3)</f>
        <v>0</v>
      </c>
      <c r="S4" s="19">
        <f t="shared" ref="S4:S33" si="16">R4*0*V4/(1+discount_rate)^A4</f>
        <v>0</v>
      </c>
      <c r="T4" s="23">
        <f t="shared" ref="T4:T33" si="17">R4*0*V4/(1+discount_rate)^A4</f>
        <v>0</v>
      </c>
      <c r="U4" s="49">
        <f t="shared" ref="U4:U33" si="18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>SUM(C4,F4,I4,L4,O4)</f>
        <v>1000</v>
      </c>
      <c r="C5" s="27">
        <f>(1-SUM(pHealthyStage1,pHealthyStage2,pHealthyStage3))*C4</f>
        <v>846.40000000000009</v>
      </c>
      <c r="D5" s="19">
        <f t="shared" si="2"/>
        <v>0</v>
      </c>
      <c r="E5" s="20">
        <f t="shared" si="1"/>
        <v>1063.7509033210797</v>
      </c>
      <c r="F5" s="27">
        <f t="shared" si="3"/>
        <v>79.5</v>
      </c>
      <c r="G5" s="19">
        <f t="shared" si="4"/>
        <v>159864.26618908474</v>
      </c>
      <c r="H5" s="20">
        <f t="shared" si="5"/>
        <v>87.925346403996599</v>
      </c>
      <c r="I5" s="27">
        <f t="shared" si="6"/>
        <v>35.900000000000006</v>
      </c>
      <c r="J5" s="19">
        <f t="shared" si="7"/>
        <v>324856.25412385713</v>
      </c>
      <c r="K5" s="20">
        <f t="shared" si="8"/>
        <v>32.034436170547025</v>
      </c>
      <c r="L5" s="27">
        <f t="shared" si="9"/>
        <v>17.200000000000003</v>
      </c>
      <c r="M5" s="19">
        <f t="shared" si="10"/>
        <v>501511.29544097785</v>
      </c>
      <c r="N5" s="20">
        <f t="shared" si="11"/>
        <v>7.7820718258082762</v>
      </c>
      <c r="O5" s="27">
        <f t="shared" si="12"/>
        <v>16.5</v>
      </c>
      <c r="P5" s="19">
        <f t="shared" si="13"/>
        <v>209444.81100952023</v>
      </c>
      <c r="Q5" s="20">
        <f t="shared" si="14"/>
        <v>19.700254500895465</v>
      </c>
      <c r="R5" s="27">
        <f t="shared" si="15"/>
        <v>4.5</v>
      </c>
      <c r="S5" s="19">
        <f t="shared" si="16"/>
        <v>0</v>
      </c>
      <c r="T5" s="23">
        <f t="shared" si="17"/>
        <v>0</v>
      </c>
      <c r="U5" s="49">
        <f t="shared" si="18"/>
        <v>0</v>
      </c>
      <c r="V5" s="54">
        <v>1.3333333333333333</v>
      </c>
      <c r="W5" s="13">
        <f t="shared" ref="W5:X33" si="19">SUM(D5,G5,J5,M5,P5,S5)</f>
        <v>1195676.62676344</v>
      </c>
      <c r="X5" s="25">
        <f t="shared" si="19"/>
        <v>1211.1930122223271</v>
      </c>
    </row>
    <row r="6" spans="1:24" x14ac:dyDescent="0.2">
      <c r="A6" s="10">
        <v>3</v>
      </c>
      <c r="B6" s="15">
        <f t="shared" ref="B6:B33" si="20">SUM(C5,F5,I5,L5,O5)</f>
        <v>995.50000000000011</v>
      </c>
      <c r="C6" s="27">
        <f t="shared" ref="C6:C33" si="21">(1-SUM(pHealthyStage1,pHealthyStage2,pHealthyStage3))*C5</f>
        <v>778.6880000000001</v>
      </c>
      <c r="D6" s="19">
        <f t="shared" si="2"/>
        <v>0</v>
      </c>
      <c r="E6" s="20">
        <f t="shared" si="1"/>
        <v>475.07321895892881</v>
      </c>
      <c r="F6" s="27">
        <f t="shared" si="3"/>
        <v>96.12</v>
      </c>
      <c r="G6" s="19">
        <f t="shared" si="4"/>
        <v>93827.644050160743</v>
      </c>
      <c r="H6" s="20">
        <f t="shared" si="5"/>
        <v>51.605204227588409</v>
      </c>
      <c r="I6" s="27">
        <f t="shared" si="6"/>
        <v>47.443000000000005</v>
      </c>
      <c r="J6" s="19">
        <f t="shared" si="7"/>
        <v>208401.91557452138</v>
      </c>
      <c r="K6" s="20">
        <f t="shared" si="8"/>
        <v>20.550744452487521</v>
      </c>
      <c r="L6" s="27">
        <f t="shared" si="9"/>
        <v>22.449000000000002</v>
      </c>
      <c r="M6" s="19">
        <f t="shared" si="10"/>
        <v>317747.43371400179</v>
      </c>
      <c r="N6" s="20">
        <f t="shared" si="11"/>
        <v>4.9305636265965793</v>
      </c>
      <c r="O6" s="27">
        <f t="shared" si="12"/>
        <v>43.06</v>
      </c>
      <c r="P6" s="19">
        <f t="shared" si="13"/>
        <v>265333.73233509681</v>
      </c>
      <c r="Q6" s="20">
        <f t="shared" si="14"/>
        <v>24.957133239439798</v>
      </c>
      <c r="R6" s="27">
        <f t="shared" si="15"/>
        <v>12.240000000000002</v>
      </c>
      <c r="S6" s="19">
        <f t="shared" si="16"/>
        <v>0</v>
      </c>
      <c r="T6" s="23">
        <f t="shared" si="17"/>
        <v>0</v>
      </c>
      <c r="U6" s="49">
        <f t="shared" si="18"/>
        <v>0</v>
      </c>
      <c r="V6" s="54">
        <v>0.66666666666666663</v>
      </c>
      <c r="W6" s="13">
        <f t="shared" si="19"/>
        <v>885310.72567378066</v>
      </c>
      <c r="X6" s="25">
        <f t="shared" si="19"/>
        <v>577.11686450504112</v>
      </c>
    </row>
    <row r="7" spans="1:24" x14ac:dyDescent="0.2">
      <c r="A7" s="10">
        <v>4</v>
      </c>
      <c r="B7" s="15">
        <f t="shared" si="20"/>
        <v>987.76</v>
      </c>
      <c r="C7" s="27">
        <f t="shared" si="21"/>
        <v>716.39296000000013</v>
      </c>
      <c r="D7" s="19">
        <f t="shared" si="2"/>
        <v>0</v>
      </c>
      <c r="E7" s="20">
        <f t="shared" si="1"/>
        <v>848.67448823730979</v>
      </c>
      <c r="F7" s="27">
        <f t="shared" si="3"/>
        <v>104.64575000000002</v>
      </c>
      <c r="G7" s="19">
        <f t="shared" si="4"/>
        <v>198349.63945476955</v>
      </c>
      <c r="H7" s="20">
        <f t="shared" si="5"/>
        <v>109.09230170012326</v>
      </c>
      <c r="I7" s="27">
        <f t="shared" si="6"/>
        <v>55.204610000000002</v>
      </c>
      <c r="J7" s="19">
        <f t="shared" si="7"/>
        <v>470866.37731427449</v>
      </c>
      <c r="K7" s="20">
        <f t="shared" si="8"/>
        <v>46.432656651824288</v>
      </c>
      <c r="L7" s="27">
        <f t="shared" si="9"/>
        <v>26.127830000000003</v>
      </c>
      <c r="M7" s="19">
        <f t="shared" si="10"/>
        <v>718093.77899642277</v>
      </c>
      <c r="N7" s="20">
        <f t="shared" si="11"/>
        <v>11.142834501668629</v>
      </c>
      <c r="O7" s="27">
        <f t="shared" si="12"/>
        <v>75.286799999999999</v>
      </c>
      <c r="P7" s="19">
        <f t="shared" si="13"/>
        <v>900803.46861078776</v>
      </c>
      <c r="Q7" s="20">
        <f t="shared" si="14"/>
        <v>84.729039126757257</v>
      </c>
      <c r="R7" s="27">
        <f t="shared" si="15"/>
        <v>22.34205</v>
      </c>
      <c r="S7" s="19">
        <f t="shared" si="16"/>
        <v>0</v>
      </c>
      <c r="T7" s="23">
        <f t="shared" si="17"/>
        <v>0</v>
      </c>
      <c r="U7" s="49">
        <f t="shared" si="18"/>
        <v>0</v>
      </c>
      <c r="V7" s="54">
        <v>1.3333333333333333</v>
      </c>
      <c r="W7" s="13">
        <f t="shared" si="19"/>
        <v>2288113.2643762548</v>
      </c>
      <c r="X7" s="25">
        <f t="shared" si="19"/>
        <v>1100.0713202176833</v>
      </c>
    </row>
    <row r="8" spans="1:24" x14ac:dyDescent="0.2">
      <c r="A8" s="10">
        <v>5</v>
      </c>
      <c r="B8" s="15">
        <f t="shared" si="20"/>
        <v>977.65795000000014</v>
      </c>
      <c r="C8" s="27">
        <f t="shared" si="21"/>
        <v>659.08152320000011</v>
      </c>
      <c r="D8" s="19">
        <f t="shared" si="2"/>
        <v>0</v>
      </c>
      <c r="E8" s="20">
        <f t="shared" si="1"/>
        <v>379.01967435841021</v>
      </c>
      <c r="F8" s="27">
        <f t="shared" si="3"/>
        <v>108.10535200000002</v>
      </c>
      <c r="G8" s="19">
        <f t="shared" si="4"/>
        <v>99469.468025751645</v>
      </c>
      <c r="H8" s="20">
        <f t="shared" si="5"/>
        <v>54.708207414163418</v>
      </c>
      <c r="I8" s="27">
        <f t="shared" si="6"/>
        <v>59.974459700000004</v>
      </c>
      <c r="J8" s="19">
        <f t="shared" si="7"/>
        <v>248325.57972438741</v>
      </c>
      <c r="K8" s="20">
        <f t="shared" si="8"/>
        <v>24.487661333932643</v>
      </c>
      <c r="L8" s="27">
        <f t="shared" si="9"/>
        <v>28.508536100000001</v>
      </c>
      <c r="M8" s="19">
        <f t="shared" si="10"/>
        <v>380351.8380927993</v>
      </c>
      <c r="N8" s="20">
        <f t="shared" si="11"/>
        <v>5.902011280750334</v>
      </c>
      <c r="O8" s="27">
        <f t="shared" si="12"/>
        <v>110.23055550000001</v>
      </c>
      <c r="P8" s="19">
        <f t="shared" si="13"/>
        <v>640244.69291109731</v>
      </c>
      <c r="Q8" s="20">
        <f t="shared" si="14"/>
        <v>60.221035471835876</v>
      </c>
      <c r="R8" s="27">
        <f t="shared" si="15"/>
        <v>34.099573500000005</v>
      </c>
      <c r="S8" s="19">
        <f t="shared" si="16"/>
        <v>0</v>
      </c>
      <c r="T8" s="23">
        <f t="shared" si="17"/>
        <v>0</v>
      </c>
      <c r="U8" s="49">
        <f t="shared" si="18"/>
        <v>0</v>
      </c>
      <c r="V8" s="54">
        <v>0.66666666666666663</v>
      </c>
      <c r="W8" s="13">
        <f t="shared" si="19"/>
        <v>1368391.5787540358</v>
      </c>
      <c r="X8" s="25">
        <f t="shared" si="19"/>
        <v>524.33858985909251</v>
      </c>
    </row>
    <row r="9" spans="1:24" x14ac:dyDescent="0.2">
      <c r="A9" s="10">
        <v>6</v>
      </c>
      <c r="B9" s="15">
        <f t="shared" si="20"/>
        <v>965.90042650000021</v>
      </c>
      <c r="C9" s="27">
        <f t="shared" si="21"/>
        <v>606.35500134400013</v>
      </c>
      <c r="D9" s="19">
        <f t="shared" si="2"/>
        <v>0</v>
      </c>
      <c r="E9" s="20">
        <f t="shared" si="1"/>
        <v>677.08369011599495</v>
      </c>
      <c r="F9" s="27">
        <f t="shared" si="3"/>
        <v>108.42588905500003</v>
      </c>
      <c r="G9" s="19">
        <f t="shared" si="4"/>
        <v>193717.28021438097</v>
      </c>
      <c r="H9" s="20">
        <f t="shared" si="5"/>
        <v>106.54450411790954</v>
      </c>
      <c r="I9" s="27">
        <f t="shared" si="6"/>
        <v>62.504573844000006</v>
      </c>
      <c r="J9" s="19">
        <f t="shared" si="7"/>
        <v>502527.32702468097</v>
      </c>
      <c r="K9" s="20">
        <f t="shared" si="8"/>
        <v>49.554778081600482</v>
      </c>
      <c r="L9" s="27">
        <f t="shared" si="9"/>
        <v>29.841252237000003</v>
      </c>
      <c r="M9" s="19">
        <f t="shared" si="10"/>
        <v>773072.84213140071</v>
      </c>
      <c r="N9" s="20">
        <f t="shared" si="11"/>
        <v>11.995957895142423</v>
      </c>
      <c r="O9" s="27">
        <f t="shared" si="12"/>
        <v>145.94486877500003</v>
      </c>
      <c r="P9" s="19">
        <f t="shared" si="13"/>
        <v>1645983.9365633684</v>
      </c>
      <c r="Q9" s="20">
        <f t="shared" si="14"/>
        <v>154.82027126091089</v>
      </c>
      <c r="R9" s="27">
        <f t="shared" si="15"/>
        <v>46.928414745000005</v>
      </c>
      <c r="S9" s="19">
        <f t="shared" si="16"/>
        <v>0</v>
      </c>
      <c r="T9" s="23">
        <f t="shared" si="17"/>
        <v>0</v>
      </c>
      <c r="U9" s="49">
        <f t="shared" si="18"/>
        <v>0</v>
      </c>
      <c r="V9" s="54">
        <v>1.3333333333333333</v>
      </c>
      <c r="W9" s="13">
        <f t="shared" si="19"/>
        <v>3115301.3859338313</v>
      </c>
      <c r="X9" s="25">
        <f t="shared" si="19"/>
        <v>999.99920147155831</v>
      </c>
    </row>
    <row r="10" spans="1:24" x14ac:dyDescent="0.2">
      <c r="A10" s="10">
        <v>7</v>
      </c>
      <c r="B10" s="15">
        <f t="shared" si="20"/>
        <v>953.07158525500017</v>
      </c>
      <c r="C10" s="27">
        <f t="shared" si="21"/>
        <v>557.84660123648018</v>
      </c>
      <c r="D10" s="19">
        <f t="shared" si="2"/>
        <v>0</v>
      </c>
      <c r="E10" s="20">
        <f t="shared" si="1"/>
        <v>302.38689073141524</v>
      </c>
      <c r="F10" s="27">
        <f t="shared" si="3"/>
        <v>106.83870402065003</v>
      </c>
      <c r="G10" s="19">
        <f t="shared" si="4"/>
        <v>92660.952876923271</v>
      </c>
      <c r="H10" s="20">
        <f t="shared" si="5"/>
        <v>50.963524082307806</v>
      </c>
      <c r="I10" s="27">
        <f t="shared" si="6"/>
        <v>63.423944538380013</v>
      </c>
      <c r="J10" s="19">
        <f t="shared" si="7"/>
        <v>247533.46041632854</v>
      </c>
      <c r="K10" s="20">
        <f t="shared" si="8"/>
        <v>24.409549568832396</v>
      </c>
      <c r="L10" s="27">
        <f t="shared" si="9"/>
        <v>30.359862208540001</v>
      </c>
      <c r="M10" s="19">
        <f t="shared" si="10"/>
        <v>381800.0219585147</v>
      </c>
      <c r="N10" s="20">
        <f t="shared" si="11"/>
        <v>5.9244830993562623</v>
      </c>
      <c r="O10" s="27">
        <f t="shared" si="12"/>
        <v>181.17390974430003</v>
      </c>
      <c r="P10" s="19">
        <f t="shared" si="13"/>
        <v>991893.85180584702</v>
      </c>
      <c r="Q10" s="20">
        <f t="shared" si="14"/>
        <v>93.296946456985609</v>
      </c>
      <c r="R10" s="27">
        <f t="shared" si="15"/>
        <v>60.356978251650006</v>
      </c>
      <c r="S10" s="19">
        <f t="shared" si="16"/>
        <v>0</v>
      </c>
      <c r="T10" s="23">
        <f t="shared" si="17"/>
        <v>0</v>
      </c>
      <c r="U10" s="49">
        <f t="shared" si="18"/>
        <v>0</v>
      </c>
      <c r="V10" s="54">
        <v>0.66666666666666663</v>
      </c>
      <c r="W10" s="13">
        <f t="shared" si="19"/>
        <v>1713888.2870576135</v>
      </c>
      <c r="X10" s="25">
        <f t="shared" si="19"/>
        <v>476.98139393889733</v>
      </c>
    </row>
    <row r="11" spans="1:24" x14ac:dyDescent="0.2">
      <c r="A11" s="10">
        <v>8</v>
      </c>
      <c r="B11" s="15">
        <f t="shared" si="20"/>
        <v>939.64302174835029</v>
      </c>
      <c r="C11" s="27">
        <f t="shared" si="21"/>
        <v>513.21887313756179</v>
      </c>
      <c r="D11" s="19">
        <f t="shared" si="2"/>
        <v>0</v>
      </c>
      <c r="E11" s="20">
        <f t="shared" si="1"/>
        <v>540.18629023864469</v>
      </c>
      <c r="F11" s="27">
        <f t="shared" si="3"/>
        <v>104.13216309705155</v>
      </c>
      <c r="G11" s="19">
        <f t="shared" si="4"/>
        <v>175366.16776084763</v>
      </c>
      <c r="H11" s="20">
        <f t="shared" si="5"/>
        <v>96.451392268466208</v>
      </c>
      <c r="I11" s="27">
        <f t="shared" si="6"/>
        <v>63.224901357692616</v>
      </c>
      <c r="J11" s="19">
        <f t="shared" si="7"/>
        <v>479139.08131536236</v>
      </c>
      <c r="K11" s="20">
        <f t="shared" si="8"/>
        <v>47.248437185264898</v>
      </c>
      <c r="L11" s="27">
        <f t="shared" si="9"/>
        <v>30.271988797391803</v>
      </c>
      <c r="M11" s="19">
        <f t="shared" si="10"/>
        <v>739213.47992913495</v>
      </c>
      <c r="N11" s="20">
        <f t="shared" si="11"/>
        <v>11.470553998900369</v>
      </c>
      <c r="O11" s="27">
        <f t="shared" si="12"/>
        <v>215.13315736480953</v>
      </c>
      <c r="P11" s="19">
        <f t="shared" si="13"/>
        <v>2287018.4272160353</v>
      </c>
      <c r="Q11" s="20">
        <f t="shared" si="14"/>
        <v>215.11559463913204</v>
      </c>
      <c r="R11" s="27">
        <f t="shared" si="15"/>
        <v>74.018916245493003</v>
      </c>
      <c r="S11" s="19">
        <f t="shared" si="16"/>
        <v>0</v>
      </c>
      <c r="T11" s="23">
        <f t="shared" si="17"/>
        <v>0</v>
      </c>
      <c r="U11" s="49">
        <f t="shared" si="18"/>
        <v>0</v>
      </c>
      <c r="V11" s="54">
        <v>1.3333333333333333</v>
      </c>
      <c r="W11" s="13">
        <f t="shared" si="19"/>
        <v>3680737.1562213805</v>
      </c>
      <c r="X11" s="25">
        <f t="shared" si="19"/>
        <v>910.47226833040827</v>
      </c>
    </row>
    <row r="12" spans="1:24" x14ac:dyDescent="0.2">
      <c r="A12" s="10">
        <v>9</v>
      </c>
      <c r="B12" s="15">
        <f t="shared" si="20"/>
        <v>925.98108375450727</v>
      </c>
      <c r="C12" s="27">
        <f t="shared" si="21"/>
        <v>472.16136328655688</v>
      </c>
      <c r="D12" s="19">
        <f t="shared" si="2"/>
        <v>0</v>
      </c>
      <c r="E12" s="20">
        <f t="shared" si="1"/>
        <v>241.2482461259967</v>
      </c>
      <c r="F12" s="27">
        <f t="shared" si="3"/>
        <v>100.81075788514242</v>
      </c>
      <c r="G12" s="19">
        <f t="shared" si="4"/>
        <v>82413.921752976414</v>
      </c>
      <c r="H12" s="20">
        <f t="shared" si="5"/>
        <v>45.32765696413702</v>
      </c>
      <c r="I12" s="27">
        <f t="shared" si="6"/>
        <v>62.277465600589636</v>
      </c>
      <c r="J12" s="19">
        <f t="shared" si="7"/>
        <v>229106.3600843834</v>
      </c>
      <c r="K12" s="20">
        <f t="shared" si="8"/>
        <v>22.592432730543361</v>
      </c>
      <c r="L12" s="27">
        <f t="shared" si="9"/>
        <v>29.751918333725413</v>
      </c>
      <c r="M12" s="19">
        <f t="shared" si="10"/>
        <v>352676.62553512538</v>
      </c>
      <c r="N12" s="20">
        <f t="shared" si="11"/>
        <v>5.4725683272691867</v>
      </c>
      <c r="O12" s="27">
        <f t="shared" si="12"/>
        <v>247.35718368966667</v>
      </c>
      <c r="P12" s="19">
        <f t="shared" si="13"/>
        <v>1276496.4752640545</v>
      </c>
      <c r="Q12" s="20">
        <f t="shared" si="14"/>
        <v>120.06650014859918</v>
      </c>
      <c r="R12" s="27">
        <f t="shared" si="15"/>
        <v>87.641311204319308</v>
      </c>
      <c r="S12" s="19">
        <f t="shared" si="16"/>
        <v>0</v>
      </c>
      <c r="T12" s="23">
        <f t="shared" si="17"/>
        <v>0</v>
      </c>
      <c r="U12" s="49">
        <f t="shared" si="18"/>
        <v>0</v>
      </c>
      <c r="V12" s="54">
        <v>0.66666666666666663</v>
      </c>
      <c r="W12" s="13">
        <f t="shared" si="19"/>
        <v>1940693.3826365396</v>
      </c>
      <c r="X12" s="25">
        <f t="shared" si="19"/>
        <v>434.70740429654541</v>
      </c>
    </row>
    <row r="13" spans="1:24" x14ac:dyDescent="0.2">
      <c r="A13" s="10">
        <v>10</v>
      </c>
      <c r="B13" s="15">
        <f t="shared" si="20"/>
        <v>912.35868879568102</v>
      </c>
      <c r="C13" s="27">
        <f t="shared" si="21"/>
        <v>434.38845422363232</v>
      </c>
      <c r="D13" s="19">
        <f t="shared" si="2"/>
        <v>0</v>
      </c>
      <c r="E13" s="20">
        <f t="shared" si="1"/>
        <v>430.96774065226595</v>
      </c>
      <c r="F13" s="27">
        <f t="shared" si="3"/>
        <v>97.196077743493234</v>
      </c>
      <c r="G13" s="19">
        <f t="shared" si="4"/>
        <v>154289.08800162634</v>
      </c>
      <c r="H13" s="20">
        <f t="shared" si="5"/>
        <v>84.858998400894478</v>
      </c>
      <c r="I13" s="27">
        <f t="shared" si="6"/>
        <v>60.8519501681821</v>
      </c>
      <c r="J13" s="19">
        <f t="shared" si="7"/>
        <v>434683.83196553326</v>
      </c>
      <c r="K13" s="20">
        <f t="shared" si="8"/>
        <v>42.864655652156756</v>
      </c>
      <c r="L13" s="27">
        <f t="shared" si="9"/>
        <v>28.939192639816721</v>
      </c>
      <c r="M13" s="19">
        <f t="shared" si="10"/>
        <v>666102.22636164248</v>
      </c>
      <c r="N13" s="20">
        <f t="shared" si="11"/>
        <v>10.336069029749623</v>
      </c>
      <c r="O13" s="27">
        <f t="shared" si="12"/>
        <v>277.59465077038021</v>
      </c>
      <c r="P13" s="19">
        <f t="shared" si="13"/>
        <v>2781627.404674435</v>
      </c>
      <c r="Q13" s="20">
        <f t="shared" si="14"/>
        <v>261.63822123175379</v>
      </c>
      <c r="R13" s="27">
        <f t="shared" si="15"/>
        <v>101.02967445449575</v>
      </c>
      <c r="S13" s="19">
        <f t="shared" si="16"/>
        <v>0</v>
      </c>
      <c r="T13" s="23">
        <f t="shared" si="17"/>
        <v>0</v>
      </c>
      <c r="U13" s="49">
        <f t="shared" si="18"/>
        <v>0</v>
      </c>
      <c r="V13" s="54">
        <v>1.3333333333333333</v>
      </c>
      <c r="W13" s="13">
        <f t="shared" si="19"/>
        <v>4036702.5510032373</v>
      </c>
      <c r="X13" s="25">
        <f t="shared" si="19"/>
        <v>830.66568496682066</v>
      </c>
    </row>
    <row r="14" spans="1:24" x14ac:dyDescent="0.2">
      <c r="A14" s="10">
        <v>11</v>
      </c>
      <c r="B14" s="15">
        <f t="shared" si="20"/>
        <v>898.97032554550458</v>
      </c>
      <c r="C14" s="27">
        <f t="shared" si="21"/>
        <v>399.63737788574173</v>
      </c>
      <c r="D14" s="19">
        <f t="shared" si="2"/>
        <v>0</v>
      </c>
      <c r="E14" s="20">
        <f t="shared" si="1"/>
        <v>192.47102980586635</v>
      </c>
      <c r="F14" s="27">
        <f t="shared" si="3"/>
        <v>93.491363768268926</v>
      </c>
      <c r="G14" s="19">
        <f t="shared" si="4"/>
        <v>72042.827055394257</v>
      </c>
      <c r="H14" s="20">
        <f t="shared" si="5"/>
        <v>39.623554880466834</v>
      </c>
      <c r="I14" s="27">
        <f t="shared" si="6"/>
        <v>59.141453099425867</v>
      </c>
      <c r="J14" s="19">
        <f t="shared" si="7"/>
        <v>205080.2114303667</v>
      </c>
      <c r="K14" s="20">
        <f t="shared" si="8"/>
        <v>20.223187516050046</v>
      </c>
      <c r="L14" s="27">
        <f t="shared" si="9"/>
        <v>27.941273387372</v>
      </c>
      <c r="M14" s="19">
        <f t="shared" si="10"/>
        <v>312200.39536997804</v>
      </c>
      <c r="N14" s="20">
        <f t="shared" si="11"/>
        <v>4.8444888936720725</v>
      </c>
      <c r="O14" s="27">
        <f t="shared" si="12"/>
        <v>305.73622071677852</v>
      </c>
      <c r="P14" s="19">
        <f t="shared" si="13"/>
        <v>1487193.6958761537</v>
      </c>
      <c r="Q14" s="20">
        <f t="shared" si="14"/>
        <v>139.88455555270752</v>
      </c>
      <c r="R14" s="27">
        <f t="shared" si="15"/>
        <v>114.05231114241327</v>
      </c>
      <c r="S14" s="19">
        <f t="shared" si="16"/>
        <v>0</v>
      </c>
      <c r="T14" s="23">
        <f t="shared" si="17"/>
        <v>0</v>
      </c>
      <c r="U14" s="49">
        <f t="shared" si="18"/>
        <v>0</v>
      </c>
      <c r="V14" s="54">
        <v>0.66666666666666663</v>
      </c>
      <c r="W14" s="13">
        <f t="shared" si="19"/>
        <v>2076517.1297318926</v>
      </c>
      <c r="X14" s="25">
        <f t="shared" si="19"/>
        <v>397.04681664876284</v>
      </c>
    </row>
    <row r="15" spans="1:24" x14ac:dyDescent="0.2">
      <c r="A15" s="10">
        <v>12</v>
      </c>
      <c r="B15" s="15">
        <f t="shared" si="20"/>
        <v>885.94768885758708</v>
      </c>
      <c r="C15" s="27">
        <f t="shared" si="21"/>
        <v>367.66638765488239</v>
      </c>
      <c r="D15" s="19">
        <f t="shared" si="2"/>
        <v>0</v>
      </c>
      <c r="E15" s="20">
        <f t="shared" si="1"/>
        <v>343.83174256581952</v>
      </c>
      <c r="F15" s="27">
        <f t="shared" si="3"/>
        <v>89.823052412968764</v>
      </c>
      <c r="G15" s="19">
        <f t="shared" si="4"/>
        <v>134400.17437861371</v>
      </c>
      <c r="H15" s="20">
        <f t="shared" si="5"/>
        <v>73.920095908237556</v>
      </c>
      <c r="I15" s="27">
        <f t="shared" si="6"/>
        <v>57.281181670733631</v>
      </c>
      <c r="J15" s="19">
        <f t="shared" si="7"/>
        <v>385688.3360402984</v>
      </c>
      <c r="K15" s="20">
        <f t="shared" si="8"/>
        <v>38.033155359529424</v>
      </c>
      <c r="L15" s="27">
        <f t="shared" si="9"/>
        <v>26.838228437457296</v>
      </c>
      <c r="M15" s="19">
        <f t="shared" si="10"/>
        <v>582282.67726464837</v>
      </c>
      <c r="N15" s="20">
        <f t="shared" si="11"/>
        <v>9.0354208541066132</v>
      </c>
      <c r="O15" s="27">
        <f t="shared" si="12"/>
        <v>331.76526565722759</v>
      </c>
      <c r="P15" s="19">
        <f t="shared" si="13"/>
        <v>3133605.5613552635</v>
      </c>
      <c r="Q15" s="20">
        <f t="shared" si="14"/>
        <v>294.74507755321781</v>
      </c>
      <c r="R15" s="27">
        <f t="shared" si="15"/>
        <v>126.62588416673067</v>
      </c>
      <c r="S15" s="19">
        <f t="shared" si="16"/>
        <v>0</v>
      </c>
      <c r="T15" s="23">
        <f t="shared" si="17"/>
        <v>0</v>
      </c>
      <c r="U15" s="49">
        <f t="shared" si="18"/>
        <v>0</v>
      </c>
      <c r="V15" s="54">
        <v>1.3333333333333333</v>
      </c>
      <c r="W15" s="13">
        <f t="shared" si="19"/>
        <v>4235976.7490388239</v>
      </c>
      <c r="X15" s="25">
        <f t="shared" si="19"/>
        <v>759.565492240911</v>
      </c>
    </row>
    <row r="16" spans="1:24" x14ac:dyDescent="0.2">
      <c r="A16" s="10">
        <v>13</v>
      </c>
      <c r="B16" s="15">
        <f t="shared" si="20"/>
        <v>873.37411583326957</v>
      </c>
      <c r="C16" s="27">
        <f t="shared" si="21"/>
        <v>338.25307664249181</v>
      </c>
      <c r="D16" s="19">
        <f t="shared" si="2"/>
        <v>0</v>
      </c>
      <c r="E16" s="20">
        <f t="shared" si="1"/>
        <v>153.5559238643466</v>
      </c>
      <c r="F16" s="27">
        <f t="shared" si="3"/>
        <v>86.267667847855051</v>
      </c>
      <c r="G16" s="19">
        <f t="shared" si="4"/>
        <v>62660.356287022165</v>
      </c>
      <c r="H16" s="20">
        <f t="shared" si="5"/>
        <v>34.46319595786219</v>
      </c>
      <c r="I16" s="27">
        <f t="shared" si="6"/>
        <v>55.363906075279843</v>
      </c>
      <c r="J16" s="19">
        <f t="shared" si="7"/>
        <v>180960.60494024758</v>
      </c>
      <c r="K16" s="20">
        <f t="shared" si="8"/>
        <v>17.844726320496637</v>
      </c>
      <c r="L16" s="27">
        <f t="shared" si="9"/>
        <v>25.687955345887517</v>
      </c>
      <c r="M16" s="19">
        <f t="shared" si="10"/>
        <v>270546.76310375665</v>
      </c>
      <c r="N16" s="20">
        <f t="shared" si="11"/>
        <v>4.1981394274720847</v>
      </c>
      <c r="O16" s="27">
        <f t="shared" si="12"/>
        <v>355.72430712489961</v>
      </c>
      <c r="P16" s="19">
        <f t="shared" si="13"/>
        <v>1631021.6869392905</v>
      </c>
      <c r="Q16" s="20">
        <f t="shared" si="14"/>
        <v>153.41293094973526</v>
      </c>
      <c r="R16" s="27">
        <f t="shared" si="15"/>
        <v>138.70308696358646</v>
      </c>
      <c r="S16" s="19">
        <f t="shared" si="16"/>
        <v>0</v>
      </c>
      <c r="T16" s="23">
        <f t="shared" si="17"/>
        <v>0</v>
      </c>
      <c r="U16" s="49">
        <f t="shared" si="18"/>
        <v>0</v>
      </c>
      <c r="V16" s="54">
        <v>0.66666666666666663</v>
      </c>
      <c r="W16" s="13">
        <f t="shared" si="19"/>
        <v>2145189.4112703167</v>
      </c>
      <c r="X16" s="25">
        <f t="shared" si="19"/>
        <v>363.47491651991277</v>
      </c>
    </row>
    <row r="17" spans="1:24" x14ac:dyDescent="0.2">
      <c r="A17" s="10">
        <v>14</v>
      </c>
      <c r="B17" s="15">
        <f t="shared" si="20"/>
        <v>861.2969130364138</v>
      </c>
      <c r="C17" s="27">
        <f t="shared" si="21"/>
        <v>311.1928305110925</v>
      </c>
      <c r="D17" s="19">
        <f t="shared" si="2"/>
        <v>0</v>
      </c>
      <c r="E17" s="20">
        <f t="shared" si="1"/>
        <v>274.31349505863858</v>
      </c>
      <c r="F17" s="27">
        <f t="shared" si="3"/>
        <v>82.869319379492367</v>
      </c>
      <c r="G17" s="19">
        <f t="shared" si="4"/>
        <v>116877.61620875173</v>
      </c>
      <c r="H17" s="20">
        <f t="shared" si="5"/>
        <v>64.282688914813448</v>
      </c>
      <c r="I17" s="27">
        <f t="shared" si="6"/>
        <v>53.451812801346627</v>
      </c>
      <c r="J17" s="19">
        <f t="shared" si="7"/>
        <v>339244.2738840371</v>
      </c>
      <c r="K17" s="20">
        <f t="shared" si="8"/>
        <v>33.453254785786989</v>
      </c>
      <c r="L17" s="27">
        <f t="shared" si="9"/>
        <v>24.531094350660652</v>
      </c>
      <c r="M17" s="19">
        <f t="shared" si="10"/>
        <v>501675.04519649135</v>
      </c>
      <c r="N17" s="20">
        <f t="shared" si="11"/>
        <v>7.7846127702903809</v>
      </c>
      <c r="O17" s="27">
        <f t="shared" si="12"/>
        <v>377.69227608817238</v>
      </c>
      <c r="P17" s="19">
        <f t="shared" si="13"/>
        <v>3362614.3964063087</v>
      </c>
      <c r="Q17" s="20">
        <f t="shared" si="14"/>
        <v>316.28551253326674</v>
      </c>
      <c r="R17" s="27">
        <f t="shared" si="15"/>
        <v>150.26266686923583</v>
      </c>
      <c r="S17" s="19">
        <f t="shared" si="16"/>
        <v>0</v>
      </c>
      <c r="T17" s="23">
        <f t="shared" si="17"/>
        <v>0</v>
      </c>
      <c r="U17" s="49">
        <f t="shared" si="18"/>
        <v>0</v>
      </c>
      <c r="V17" s="54">
        <v>1.3333333333333333</v>
      </c>
      <c r="W17" s="13">
        <f t="shared" si="19"/>
        <v>4320411.3316955892</v>
      </c>
      <c r="X17" s="25">
        <f t="shared" si="19"/>
        <v>696.11956406279614</v>
      </c>
    </row>
    <row r="18" spans="1:24" x14ac:dyDescent="0.2">
      <c r="A18" s="10">
        <v>15</v>
      </c>
      <c r="B18" s="15">
        <f t="shared" si="20"/>
        <v>849.73733313076445</v>
      </c>
      <c r="C18" s="27">
        <f t="shared" si="21"/>
        <v>286.29740407020512</v>
      </c>
      <c r="D18" s="19">
        <f t="shared" si="2"/>
        <v>0</v>
      </c>
      <c r="E18" s="20">
        <f t="shared" si="1"/>
        <v>122.5089395407512</v>
      </c>
      <c r="F18" s="27">
        <f t="shared" si="3"/>
        <v>79.651135284055442</v>
      </c>
      <c r="G18" s="19">
        <f t="shared" si="4"/>
        <v>54533.368326168784</v>
      </c>
      <c r="H18" s="20">
        <f t="shared" si="5"/>
        <v>29.993352579392834</v>
      </c>
      <c r="I18" s="27">
        <f t="shared" si="6"/>
        <v>51.585353707393828</v>
      </c>
      <c r="J18" s="19">
        <f t="shared" si="7"/>
        <v>158931.24282132622</v>
      </c>
      <c r="K18" s="20">
        <f t="shared" si="8"/>
        <v>15.672386444880775</v>
      </c>
      <c r="L18" s="27">
        <f t="shared" si="9"/>
        <v>23.395247400643246</v>
      </c>
      <c r="M18" s="19">
        <f t="shared" si="10"/>
        <v>232255.49473906201</v>
      </c>
      <c r="N18" s="20">
        <f t="shared" si="11"/>
        <v>3.6039645735371688</v>
      </c>
      <c r="O18" s="27">
        <f t="shared" si="12"/>
        <v>397.76920021066962</v>
      </c>
      <c r="P18" s="19">
        <f t="shared" si="13"/>
        <v>1719106.9506418121</v>
      </c>
      <c r="Q18" s="20">
        <f t="shared" si="14"/>
        <v>161.69817852571501</v>
      </c>
      <c r="R18" s="27">
        <f t="shared" si="15"/>
        <v>161.30165932703312</v>
      </c>
      <c r="S18" s="19">
        <f t="shared" si="16"/>
        <v>0</v>
      </c>
      <c r="T18" s="23">
        <f t="shared" si="17"/>
        <v>0</v>
      </c>
      <c r="U18" s="49">
        <f t="shared" si="18"/>
        <v>0</v>
      </c>
      <c r="V18" s="54">
        <v>0.66666666666666663</v>
      </c>
      <c r="W18" s="13">
        <f t="shared" si="19"/>
        <v>2164827.056528369</v>
      </c>
      <c r="X18" s="25">
        <f t="shared" si="19"/>
        <v>333.47682166427694</v>
      </c>
    </row>
    <row r="19" spans="1:24" x14ac:dyDescent="0.2">
      <c r="A19" s="10">
        <v>16</v>
      </c>
      <c r="B19" s="15">
        <f t="shared" si="20"/>
        <v>838.69834067296733</v>
      </c>
      <c r="C19" s="27">
        <f t="shared" si="21"/>
        <v>263.39361174458872</v>
      </c>
      <c r="D19" s="19">
        <f t="shared" si="2"/>
        <v>0</v>
      </c>
      <c r="E19" s="20">
        <f t="shared" si="1"/>
        <v>218.850921121342</v>
      </c>
      <c r="F19" s="27">
        <f t="shared" si="3"/>
        <v>76.622759827729368</v>
      </c>
      <c r="G19" s="19">
        <f t="shared" si="4"/>
        <v>101864.04419508064</v>
      </c>
      <c r="H19" s="20">
        <f t="shared" si="5"/>
        <v>56.025224307294351</v>
      </c>
      <c r="I19" s="27">
        <f t="shared" si="6"/>
        <v>49.789728206384794</v>
      </c>
      <c r="J19" s="19">
        <f t="shared" si="7"/>
        <v>297862.20029735233</v>
      </c>
      <c r="K19" s="20">
        <f t="shared" si="8"/>
        <v>29.372522529322243</v>
      </c>
      <c r="L19" s="27">
        <f t="shared" si="9"/>
        <v>22.29840079713275</v>
      </c>
      <c r="M19" s="19">
        <f t="shared" si="10"/>
        <v>429838.03632354632</v>
      </c>
      <c r="N19" s="20">
        <f t="shared" si="11"/>
        <v>6.6699005636412352</v>
      </c>
      <c r="O19" s="27">
        <f t="shared" si="12"/>
        <v>416.06597876684214</v>
      </c>
      <c r="P19" s="19">
        <f t="shared" si="13"/>
        <v>3491617.9750236217</v>
      </c>
      <c r="Q19" s="20">
        <f t="shared" si="14"/>
        <v>328.41951250222183</v>
      </c>
      <c r="R19" s="27">
        <f t="shared" si="15"/>
        <v>171.82952065732258</v>
      </c>
      <c r="S19" s="19">
        <f t="shared" si="16"/>
        <v>0</v>
      </c>
      <c r="T19" s="23">
        <f t="shared" si="17"/>
        <v>0</v>
      </c>
      <c r="U19" s="49">
        <f t="shared" si="18"/>
        <v>0</v>
      </c>
      <c r="V19" s="54">
        <v>1.3333333333333333</v>
      </c>
      <c r="W19" s="13">
        <f t="shared" si="19"/>
        <v>4321182.2558396012</v>
      </c>
      <c r="X19" s="25">
        <f t="shared" si="19"/>
        <v>639.33808102382159</v>
      </c>
    </row>
    <row r="20" spans="1:24" x14ac:dyDescent="0.2">
      <c r="A20" s="10">
        <v>17</v>
      </c>
      <c r="B20" s="15">
        <f t="shared" si="20"/>
        <v>828.17047934267771</v>
      </c>
      <c r="C20" s="27">
        <f t="shared" si="21"/>
        <v>242.32212280502165</v>
      </c>
      <c r="D20" s="19">
        <f t="shared" si="2"/>
        <v>0</v>
      </c>
      <c r="E20" s="20">
        <f t="shared" si="1"/>
        <v>97.739246326036238</v>
      </c>
      <c r="F20" s="27">
        <f t="shared" si="3"/>
        <v>73.785280460909618</v>
      </c>
      <c r="G20" s="19">
        <f t="shared" si="4"/>
        <v>47617.395349460458</v>
      </c>
      <c r="H20" s="20">
        <f t="shared" si="5"/>
        <v>26.189567442203249</v>
      </c>
      <c r="I20" s="27">
        <f t="shared" si="6"/>
        <v>48.079564969020645</v>
      </c>
      <c r="J20" s="19">
        <f t="shared" si="7"/>
        <v>139626.85207353428</v>
      </c>
      <c r="K20" s="20">
        <f t="shared" si="8"/>
        <v>13.768759023917962</v>
      </c>
      <c r="L20" s="27">
        <f t="shared" si="9"/>
        <v>21.251595746969983</v>
      </c>
      <c r="M20" s="19">
        <f t="shared" si="10"/>
        <v>198863.67087652662</v>
      </c>
      <c r="N20" s="20">
        <f t="shared" si="11"/>
        <v>3.0858155825667923</v>
      </c>
      <c r="O20" s="27">
        <f t="shared" si="12"/>
        <v>432.69763500204613</v>
      </c>
      <c r="P20" s="19">
        <f t="shared" si="13"/>
        <v>1762713.8473794651</v>
      </c>
      <c r="Q20" s="20">
        <f t="shared" si="14"/>
        <v>165.79981732777148</v>
      </c>
      <c r="R20" s="27">
        <f t="shared" si="15"/>
        <v>181.86380101603231</v>
      </c>
      <c r="S20" s="19">
        <f t="shared" si="16"/>
        <v>0</v>
      </c>
      <c r="T20" s="23">
        <f t="shared" si="17"/>
        <v>0</v>
      </c>
      <c r="U20" s="49">
        <f t="shared" si="18"/>
        <v>0</v>
      </c>
      <c r="V20" s="54">
        <v>0.66666666666666663</v>
      </c>
      <c r="W20" s="13">
        <f t="shared" si="19"/>
        <v>2148821.7656789864</v>
      </c>
      <c r="X20" s="25">
        <f t="shared" si="19"/>
        <v>306.58320570249572</v>
      </c>
    </row>
    <row r="21" spans="1:24" x14ac:dyDescent="0.2">
      <c r="A21" s="10">
        <v>18</v>
      </c>
      <c r="B21" s="15">
        <f t="shared" si="20"/>
        <v>818.13619898396803</v>
      </c>
      <c r="C21" s="27">
        <f t="shared" si="21"/>
        <v>222.93635298061992</v>
      </c>
      <c r="D21" s="19">
        <f t="shared" si="2"/>
        <v>0</v>
      </c>
      <c r="E21" s="20">
        <f t="shared" si="1"/>
        <v>174.60214877660846</v>
      </c>
      <c r="F21" s="27">
        <f t="shared" si="3"/>
        <v>71.134469388334296</v>
      </c>
      <c r="G21" s="19">
        <f t="shared" si="4"/>
        <v>89139.207966619928</v>
      </c>
      <c r="H21" s="20">
        <f t="shared" si="5"/>
        <v>49.026564381640974</v>
      </c>
      <c r="I21" s="27">
        <f t="shared" si="6"/>
        <v>46.462265620972737</v>
      </c>
      <c r="J21" s="19">
        <f t="shared" si="7"/>
        <v>262000.16912058991</v>
      </c>
      <c r="K21" s="20">
        <f t="shared" si="8"/>
        <v>25.836127788280393</v>
      </c>
      <c r="L21" s="27">
        <f t="shared" si="9"/>
        <v>20.260953846888306</v>
      </c>
      <c r="M21" s="19">
        <f t="shared" si="10"/>
        <v>368143.01441057335</v>
      </c>
      <c r="N21" s="20">
        <f t="shared" si="11"/>
        <v>5.7125640167157936</v>
      </c>
      <c r="O21" s="27">
        <f t="shared" si="12"/>
        <v>447.77893906101627</v>
      </c>
      <c r="P21" s="19">
        <f t="shared" si="13"/>
        <v>3542042.1806755583</v>
      </c>
      <c r="Q21" s="20">
        <f t="shared" si="14"/>
        <v>333.16238333086926</v>
      </c>
      <c r="R21" s="27">
        <f t="shared" si="15"/>
        <v>191.4270191021688</v>
      </c>
      <c r="S21" s="19">
        <f t="shared" si="16"/>
        <v>0</v>
      </c>
      <c r="T21" s="23">
        <f t="shared" si="17"/>
        <v>0</v>
      </c>
      <c r="U21" s="49">
        <f t="shared" si="18"/>
        <v>0</v>
      </c>
      <c r="V21" s="54">
        <v>1.3333333333333333</v>
      </c>
      <c r="W21" s="13">
        <f t="shared" si="19"/>
        <v>4261324.5721733412</v>
      </c>
      <c r="X21" s="25">
        <f t="shared" si="19"/>
        <v>588.3397882941149</v>
      </c>
    </row>
    <row r="22" spans="1:24" x14ac:dyDescent="0.2">
      <c r="A22" s="10">
        <v>19</v>
      </c>
      <c r="B22" s="15">
        <f t="shared" si="20"/>
        <v>808.57298089783148</v>
      </c>
      <c r="C22" s="27">
        <f t="shared" si="21"/>
        <v>205.10144474217034</v>
      </c>
      <c r="D22" s="19">
        <f t="shared" si="2"/>
        <v>0</v>
      </c>
      <c r="E22" s="20">
        <f t="shared" si="1"/>
        <v>77.977658676931924</v>
      </c>
      <c r="F22" s="27">
        <f t="shared" si="3"/>
        <v>68.662914813717251</v>
      </c>
      <c r="G22" s="19">
        <f t="shared" si="4"/>
        <v>41768.000937003177</v>
      </c>
      <c r="H22" s="20">
        <f t="shared" si="5"/>
        <v>22.972400515351747</v>
      </c>
      <c r="I22" s="27">
        <f t="shared" si="6"/>
        <v>44.940370453984045</v>
      </c>
      <c r="J22" s="19">
        <f t="shared" si="7"/>
        <v>123018.55348636121</v>
      </c>
      <c r="K22" s="20">
        <f t="shared" si="8"/>
        <v>12.13099624657173</v>
      </c>
      <c r="L22" s="27">
        <f t="shared" si="9"/>
        <v>19.329180296396263</v>
      </c>
      <c r="M22" s="19">
        <f t="shared" si="10"/>
        <v>170491.56349340372</v>
      </c>
      <c r="N22" s="20">
        <f t="shared" si="11"/>
        <v>2.6455587438631607</v>
      </c>
      <c r="O22" s="27">
        <f t="shared" si="12"/>
        <v>461.42164136046387</v>
      </c>
      <c r="P22" s="19">
        <f t="shared" si="13"/>
        <v>1771824.9178790725</v>
      </c>
      <c r="Q22" s="20">
        <f t="shared" si="14"/>
        <v>166.6567992064474</v>
      </c>
      <c r="R22" s="27">
        <f t="shared" si="15"/>
        <v>200.54444833326855</v>
      </c>
      <c r="S22" s="19">
        <f t="shared" si="16"/>
        <v>0</v>
      </c>
      <c r="T22" s="23">
        <f t="shared" si="17"/>
        <v>0</v>
      </c>
      <c r="U22" s="49">
        <f t="shared" si="18"/>
        <v>0</v>
      </c>
      <c r="V22" s="54">
        <v>0.66666666666666663</v>
      </c>
      <c r="W22" s="13">
        <f t="shared" si="19"/>
        <v>2107103.0357958404</v>
      </c>
      <c r="X22" s="25">
        <f t="shared" si="19"/>
        <v>282.38341338916598</v>
      </c>
    </row>
    <row r="23" spans="1:24" x14ac:dyDescent="0.2">
      <c r="A23" s="10">
        <v>20</v>
      </c>
      <c r="B23" s="15">
        <f t="shared" si="20"/>
        <v>799.45555166673171</v>
      </c>
      <c r="C23" s="27">
        <f t="shared" si="21"/>
        <v>188.69332916279672</v>
      </c>
      <c r="D23" s="19">
        <f t="shared" si="2"/>
        <v>0</v>
      </c>
      <c r="E23" s="20">
        <f t="shared" si="1"/>
        <v>139.29989511218909</v>
      </c>
      <c r="F23" s="27">
        <f t="shared" si="3"/>
        <v>66.361418215933213</v>
      </c>
      <c r="G23" s="19">
        <f t="shared" si="4"/>
        <v>78384.444329774095</v>
      </c>
      <c r="H23" s="20">
        <f t="shared" si="5"/>
        <v>43.111444381375748</v>
      </c>
      <c r="I23" s="27">
        <f t="shared" si="6"/>
        <v>43.513218077030011</v>
      </c>
      <c r="J23" s="19">
        <f t="shared" si="7"/>
        <v>231285.25282439092</v>
      </c>
      <c r="K23" s="20">
        <f t="shared" si="8"/>
        <v>22.807295764627437</v>
      </c>
      <c r="L23" s="27">
        <f t="shared" si="9"/>
        <v>18.456660163717444</v>
      </c>
      <c r="M23" s="19">
        <f t="shared" si="10"/>
        <v>316107.89529739413</v>
      </c>
      <c r="N23" s="20">
        <f t="shared" si="11"/>
        <v>4.905122513235427</v>
      </c>
      <c r="O23" s="27">
        <f t="shared" si="12"/>
        <v>473.73279491387603</v>
      </c>
      <c r="P23" s="19">
        <f t="shared" si="13"/>
        <v>3532230.7484241072</v>
      </c>
      <c r="Q23" s="20">
        <f t="shared" si="14"/>
        <v>332.23952584187145</v>
      </c>
      <c r="R23" s="27">
        <f t="shared" si="15"/>
        <v>209.24257946664687</v>
      </c>
      <c r="S23" s="19">
        <f t="shared" si="16"/>
        <v>0</v>
      </c>
      <c r="T23" s="23">
        <f t="shared" si="17"/>
        <v>0</v>
      </c>
      <c r="U23" s="49">
        <f t="shared" si="18"/>
        <v>0</v>
      </c>
      <c r="V23" s="54">
        <v>1.3333333333333333</v>
      </c>
      <c r="W23" s="13">
        <f t="shared" si="19"/>
        <v>4158008.3408756666</v>
      </c>
      <c r="X23" s="25">
        <f t="shared" si="19"/>
        <v>542.36328361329913</v>
      </c>
    </row>
    <row r="24" spans="1:24" x14ac:dyDescent="0.2">
      <c r="A24" s="10">
        <v>21</v>
      </c>
      <c r="B24" s="15">
        <f t="shared" si="20"/>
        <v>790.75742053335341</v>
      </c>
      <c r="C24" s="27">
        <f t="shared" si="21"/>
        <v>173.59786282977299</v>
      </c>
      <c r="D24" s="19">
        <f t="shared" si="2"/>
        <v>0</v>
      </c>
      <c r="E24" s="20">
        <f t="shared" si="1"/>
        <v>62.21160364233689</v>
      </c>
      <c r="F24" s="27">
        <f t="shared" si="3"/>
        <v>64.219905100625454</v>
      </c>
      <c r="G24" s="19">
        <f t="shared" si="4"/>
        <v>36822.787718175954</v>
      </c>
      <c r="H24" s="20">
        <f t="shared" si="5"/>
        <v>20.252533244996776</v>
      </c>
      <c r="I24" s="27">
        <f t="shared" si="6"/>
        <v>42.178100208391896</v>
      </c>
      <c r="J24" s="19">
        <f t="shared" si="7"/>
        <v>108829.47468595665</v>
      </c>
      <c r="K24" s="20">
        <f t="shared" si="8"/>
        <v>10.731795420420724</v>
      </c>
      <c r="L24" s="27">
        <f t="shared" si="9"/>
        <v>17.64224608504119</v>
      </c>
      <c r="M24" s="19">
        <f t="shared" si="10"/>
        <v>146679.31821028184</v>
      </c>
      <c r="N24" s="20">
        <f t="shared" si="11"/>
        <v>2.2760583860216146</v>
      </c>
      <c r="O24" s="27">
        <f t="shared" si="12"/>
        <v>484.81380923584902</v>
      </c>
      <c r="P24" s="19">
        <f t="shared" si="13"/>
        <v>1754782.8348433317</v>
      </c>
      <c r="Q24" s="20">
        <f t="shared" si="14"/>
        <v>165.05383100011534</v>
      </c>
      <c r="R24" s="27">
        <f t="shared" si="15"/>
        <v>217.54807654031973</v>
      </c>
      <c r="S24" s="19">
        <f t="shared" si="16"/>
        <v>0</v>
      </c>
      <c r="T24" s="23">
        <f t="shared" si="17"/>
        <v>0</v>
      </c>
      <c r="U24" s="49">
        <f t="shared" si="18"/>
        <v>0</v>
      </c>
      <c r="V24" s="54">
        <v>0.66666666666666663</v>
      </c>
      <c r="W24" s="13">
        <f t="shared" si="19"/>
        <v>2047114.415457746</v>
      </c>
      <c r="X24" s="25">
        <f t="shared" si="19"/>
        <v>260.52582169389132</v>
      </c>
    </row>
    <row r="25" spans="1:24" x14ac:dyDescent="0.2">
      <c r="A25" s="10">
        <v>22</v>
      </c>
      <c r="B25" s="15">
        <f t="shared" si="20"/>
        <v>782.45192345968053</v>
      </c>
      <c r="C25" s="27">
        <f t="shared" si="21"/>
        <v>159.71003380339116</v>
      </c>
      <c r="D25" s="19">
        <f t="shared" si="2"/>
        <v>0</v>
      </c>
      <c r="E25" s="20">
        <f t="shared" si="1"/>
        <v>111.13529194359209</v>
      </c>
      <c r="F25" s="27">
        <f t="shared" si="3"/>
        <v>62.228012652031772</v>
      </c>
      <c r="G25" s="19">
        <f t="shared" si="4"/>
        <v>69282.844048900341</v>
      </c>
      <c r="H25" s="20">
        <f t="shared" si="5"/>
        <v>38.105564226895183</v>
      </c>
      <c r="I25" s="27">
        <f t="shared" si="6"/>
        <v>40.931058288303696</v>
      </c>
      <c r="J25" s="19">
        <f t="shared" si="7"/>
        <v>205071.47878899545</v>
      </c>
      <c r="K25" s="20">
        <f t="shared" si="8"/>
        <v>20.222326380581496</v>
      </c>
      <c r="L25" s="27">
        <f t="shared" si="9"/>
        <v>16.883816702077109</v>
      </c>
      <c r="M25" s="19">
        <f t="shared" si="10"/>
        <v>272570.22119425656</v>
      </c>
      <c r="N25" s="20">
        <f t="shared" si="11"/>
        <v>4.2295379150832906</v>
      </c>
      <c r="O25" s="27">
        <f t="shared" si="12"/>
        <v>494.75999127560829</v>
      </c>
      <c r="P25" s="19">
        <f t="shared" si="13"/>
        <v>3477248.5930041084</v>
      </c>
      <c r="Q25" s="20">
        <f t="shared" si="14"/>
        <v>327.067936965733</v>
      </c>
      <c r="R25" s="27">
        <f t="shared" si="15"/>
        <v>225.48708727858826</v>
      </c>
      <c r="S25" s="19">
        <f t="shared" si="16"/>
        <v>0</v>
      </c>
      <c r="T25" s="23">
        <f t="shared" si="17"/>
        <v>0</v>
      </c>
      <c r="U25" s="49">
        <f t="shared" si="18"/>
        <v>0</v>
      </c>
      <c r="V25" s="54">
        <v>1.3333333333333333</v>
      </c>
      <c r="W25" s="13">
        <f t="shared" si="19"/>
        <v>4024173.1370362607</v>
      </c>
      <c r="X25" s="25">
        <f t="shared" si="19"/>
        <v>500.76065743188508</v>
      </c>
    </row>
    <row r="26" spans="1:24" x14ac:dyDescent="0.2">
      <c r="A26" s="10">
        <v>23</v>
      </c>
      <c r="B26" s="15">
        <f t="shared" si="20"/>
        <v>774.51291272141202</v>
      </c>
      <c r="C26" s="27">
        <f t="shared" si="21"/>
        <v>146.93323109911987</v>
      </c>
      <c r="D26" s="19">
        <f t="shared" si="2"/>
        <v>0</v>
      </c>
      <c r="E26" s="20">
        <f t="shared" si="1"/>
        <v>49.633237178691623</v>
      </c>
      <c r="F26" s="27">
        <f t="shared" si="3"/>
        <v>60.375462653917559</v>
      </c>
      <c r="G26" s="19">
        <f t="shared" si="4"/>
        <v>32631.198649989565</v>
      </c>
      <c r="H26" s="20">
        <f t="shared" si="5"/>
        <v>17.947159257494263</v>
      </c>
      <c r="I26" s="27">
        <f t="shared" si="6"/>
        <v>39.76742766211315</v>
      </c>
      <c r="J26" s="19">
        <f t="shared" si="7"/>
        <v>96719.171772804068</v>
      </c>
      <c r="K26" s="20">
        <f t="shared" si="8"/>
        <v>9.5375849942626232</v>
      </c>
      <c r="L26" s="27">
        <f t="shared" si="9"/>
        <v>16.178667432318019</v>
      </c>
      <c r="M26" s="19">
        <f t="shared" si="10"/>
        <v>126789.50472947706</v>
      </c>
      <c r="N26" s="20">
        <f t="shared" si="11"/>
        <v>1.967423349250506</v>
      </c>
      <c r="O26" s="27">
        <f t="shared" si="12"/>
        <v>503.66040635800874</v>
      </c>
      <c r="P26" s="19">
        <f t="shared" si="13"/>
        <v>1718350.5175431564</v>
      </c>
      <c r="Q26" s="20">
        <f t="shared" si="14"/>
        <v>161.62702887782163</v>
      </c>
      <c r="R26" s="27">
        <f t="shared" si="15"/>
        <v>233.08480479452297</v>
      </c>
      <c r="S26" s="19">
        <f t="shared" si="16"/>
        <v>0</v>
      </c>
      <c r="T26" s="23">
        <f t="shared" si="17"/>
        <v>0</v>
      </c>
      <c r="U26" s="49">
        <f t="shared" si="18"/>
        <v>0</v>
      </c>
      <c r="V26" s="54">
        <v>0.66666666666666663</v>
      </c>
      <c r="W26" s="13">
        <f t="shared" si="19"/>
        <v>1974490.3926954272</v>
      </c>
      <c r="X26" s="25">
        <f t="shared" si="19"/>
        <v>240.71243365752065</v>
      </c>
    </row>
    <row r="27" spans="1:24" x14ac:dyDescent="0.2">
      <c r="A27" s="10">
        <v>24</v>
      </c>
      <c r="B27" s="15">
        <f t="shared" si="20"/>
        <v>766.9151952054774</v>
      </c>
      <c r="C27" s="27">
        <f t="shared" si="21"/>
        <v>135.17857261119028</v>
      </c>
      <c r="D27" s="19">
        <f t="shared" si="2"/>
        <v>0</v>
      </c>
      <c r="E27" s="20">
        <f t="shared" si="1"/>
        <v>88.665200396886007</v>
      </c>
      <c r="F27" s="27">
        <f t="shared" si="3"/>
        <v>58.652291790268237</v>
      </c>
      <c r="G27" s="19">
        <f t="shared" si="4"/>
        <v>61553.154229891814</v>
      </c>
      <c r="H27" s="20">
        <f t="shared" si="5"/>
        <v>33.854234826440496</v>
      </c>
      <c r="I27" s="27">
        <f t="shared" si="6"/>
        <v>38.682204919838028</v>
      </c>
      <c r="J27" s="19">
        <f t="shared" si="7"/>
        <v>182679.18332223815</v>
      </c>
      <c r="K27" s="20">
        <f t="shared" si="8"/>
        <v>18.014197244276261</v>
      </c>
      <c r="L27" s="27">
        <f t="shared" si="9"/>
        <v>15.523780176467181</v>
      </c>
      <c r="M27" s="19">
        <f t="shared" si="10"/>
        <v>236227.69530171584</v>
      </c>
      <c r="N27" s="20">
        <f t="shared" si="11"/>
        <v>3.6656021684749005</v>
      </c>
      <c r="O27" s="27">
        <f t="shared" si="12"/>
        <v>511.59794536317048</v>
      </c>
      <c r="P27" s="19">
        <f t="shared" si="13"/>
        <v>3389186.8220504248</v>
      </c>
      <c r="Q27" s="20">
        <f t="shared" si="14"/>
        <v>318.78489910375282</v>
      </c>
      <c r="R27" s="27">
        <f t="shared" si="15"/>
        <v>240.36520513906606</v>
      </c>
      <c r="S27" s="19">
        <f t="shared" si="16"/>
        <v>0</v>
      </c>
      <c r="T27" s="23">
        <f t="shared" si="17"/>
        <v>0</v>
      </c>
      <c r="U27" s="49">
        <f t="shared" si="18"/>
        <v>0</v>
      </c>
      <c r="V27" s="54">
        <v>1.3333333333333333</v>
      </c>
      <c r="W27" s="13">
        <f t="shared" si="19"/>
        <v>3869646.8549042707</v>
      </c>
      <c r="X27" s="25">
        <f t="shared" si="19"/>
        <v>462.98413373983044</v>
      </c>
    </row>
    <row r="28" spans="1:24" x14ac:dyDescent="0.2">
      <c r="A28" s="10">
        <v>25</v>
      </c>
      <c r="B28" s="15">
        <f t="shared" si="20"/>
        <v>759.63479486093422</v>
      </c>
      <c r="C28" s="27">
        <f t="shared" si="21"/>
        <v>124.36428680229506</v>
      </c>
      <c r="D28" s="19">
        <f t="shared" si="2"/>
        <v>0</v>
      </c>
      <c r="E28" s="20">
        <f t="shared" si="1"/>
        <v>39.598050662686958</v>
      </c>
      <c r="F28" s="27">
        <f t="shared" si="3"/>
        <v>57.048987447489189</v>
      </c>
      <c r="G28" s="19">
        <f t="shared" si="4"/>
        <v>29063.375067369972</v>
      </c>
      <c r="H28" s="20">
        <f t="shared" si="5"/>
        <v>15.984856287053482</v>
      </c>
      <c r="I28" s="27">
        <f t="shared" si="6"/>
        <v>37.670292045608505</v>
      </c>
      <c r="J28" s="19">
        <f t="shared" si="7"/>
        <v>86359.398128139917</v>
      </c>
      <c r="K28" s="20">
        <f t="shared" si="8"/>
        <v>8.515996204302688</v>
      </c>
      <c r="L28" s="27">
        <f t="shared" si="9"/>
        <v>14.916006552321196</v>
      </c>
      <c r="M28" s="19">
        <f t="shared" si="10"/>
        <v>110184.03531489508</v>
      </c>
      <c r="N28" s="20">
        <f t="shared" si="11"/>
        <v>1.7097522721276823</v>
      </c>
      <c r="O28" s="27">
        <f t="shared" si="12"/>
        <v>518.64952093380998</v>
      </c>
      <c r="P28" s="19">
        <f t="shared" si="13"/>
        <v>1667913.3245987212</v>
      </c>
      <c r="Q28" s="20">
        <f t="shared" si="14"/>
        <v>156.88293647215693</v>
      </c>
      <c r="R28" s="27">
        <f t="shared" si="15"/>
        <v>247.3509062184763</v>
      </c>
      <c r="S28" s="19">
        <f t="shared" si="16"/>
        <v>0</v>
      </c>
      <c r="T28" s="23">
        <f t="shared" si="17"/>
        <v>0</v>
      </c>
      <c r="U28" s="49">
        <f t="shared" si="18"/>
        <v>0</v>
      </c>
      <c r="V28" s="54">
        <v>0.66666666666666663</v>
      </c>
      <c r="W28" s="13">
        <f t="shared" si="19"/>
        <v>1893520.1331091262</v>
      </c>
      <c r="X28" s="25">
        <f t="shared" si="19"/>
        <v>222.69159189832774</v>
      </c>
    </row>
    <row r="29" spans="1:24" x14ac:dyDescent="0.2">
      <c r="A29" s="10">
        <v>26</v>
      </c>
      <c r="B29" s="15">
        <f t="shared" si="20"/>
        <v>752.6490937815239</v>
      </c>
      <c r="C29" s="27">
        <f t="shared" si="21"/>
        <v>114.41514385811145</v>
      </c>
      <c r="D29" s="19">
        <f t="shared" si="2"/>
        <v>0</v>
      </c>
      <c r="E29" s="20">
        <f t="shared" si="1"/>
        <v>70.738265261499009</v>
      </c>
      <c r="F29" s="27">
        <f t="shared" si="3"/>
        <v>55.55656120193936</v>
      </c>
      <c r="G29" s="19">
        <f t="shared" si="4"/>
        <v>54957.40694176824</v>
      </c>
      <c r="H29" s="20">
        <f t="shared" si="5"/>
        <v>30.226573817972529</v>
      </c>
      <c r="I29" s="27">
        <f t="shared" si="6"/>
        <v>36.726655245114081</v>
      </c>
      <c r="J29" s="19">
        <f t="shared" si="7"/>
        <v>163487.58137866648</v>
      </c>
      <c r="K29" s="20">
        <f t="shared" si="8"/>
        <v>16.121692052618499</v>
      </c>
      <c r="L29" s="27">
        <f t="shared" si="9"/>
        <v>14.352189951024824</v>
      </c>
      <c r="M29" s="19">
        <f t="shared" si="10"/>
        <v>205862.41004490331</v>
      </c>
      <c r="N29" s="20">
        <f t="shared" si="11"/>
        <v>3.1944167075933274</v>
      </c>
      <c r="O29" s="27">
        <f t="shared" si="12"/>
        <v>524.88634057678962</v>
      </c>
      <c r="P29" s="19">
        <f t="shared" si="13"/>
        <v>3277611.9855499733</v>
      </c>
      <c r="Q29" s="20">
        <f t="shared" si="14"/>
        <v>308.29023626460139</v>
      </c>
      <c r="R29" s="27">
        <f t="shared" si="15"/>
        <v>254.06310916702083</v>
      </c>
      <c r="S29" s="19">
        <f t="shared" si="16"/>
        <v>0</v>
      </c>
      <c r="T29" s="23">
        <f t="shared" si="17"/>
        <v>0</v>
      </c>
      <c r="U29" s="49">
        <f t="shared" si="18"/>
        <v>0</v>
      </c>
      <c r="V29" s="54">
        <v>1.3333333333333333</v>
      </c>
      <c r="W29" s="13">
        <f t="shared" si="19"/>
        <v>3701919.3839153112</v>
      </c>
      <c r="X29" s="25">
        <f t="shared" si="19"/>
        <v>428.57118410428478</v>
      </c>
    </row>
    <row r="30" spans="1:24" x14ac:dyDescent="0.2">
      <c r="A30" s="10">
        <v>27</v>
      </c>
      <c r="B30" s="15">
        <f t="shared" si="20"/>
        <v>745.93689083297932</v>
      </c>
      <c r="C30" s="27">
        <f t="shared" si="21"/>
        <v>105.26193234946254</v>
      </c>
      <c r="D30" s="19">
        <f t="shared" si="2"/>
        <v>0</v>
      </c>
      <c r="E30" s="20">
        <f t="shared" si="1"/>
        <v>31.591846621640347</v>
      </c>
      <c r="F30" s="27">
        <f t="shared" si="3"/>
        <v>54.166581547957648</v>
      </c>
      <c r="G30" s="19">
        <f t="shared" si="4"/>
        <v>26010.88234786356</v>
      </c>
      <c r="H30" s="20">
        <f t="shared" si="5"/>
        <v>14.305985291324957</v>
      </c>
      <c r="I30" s="27">
        <f t="shared" si="6"/>
        <v>35.84642504774375</v>
      </c>
      <c r="J30" s="19">
        <f t="shared" si="7"/>
        <v>77460.807575106723</v>
      </c>
      <c r="K30" s="20">
        <f t="shared" si="8"/>
        <v>7.6384963025452475</v>
      </c>
      <c r="L30" s="27">
        <f t="shared" si="9"/>
        <v>13.829244700860638</v>
      </c>
      <c r="M30" s="19">
        <f t="shared" si="10"/>
        <v>96291.980693919861</v>
      </c>
      <c r="N30" s="20">
        <f t="shared" si="11"/>
        <v>1.4941859073194461</v>
      </c>
      <c r="O30" s="27">
        <f t="shared" si="12"/>
        <v>530.37422170899356</v>
      </c>
      <c r="P30" s="19">
        <f t="shared" si="13"/>
        <v>1607709.0451619311</v>
      </c>
      <c r="Q30" s="20">
        <f t="shared" si="14"/>
        <v>151.22015771325093</v>
      </c>
      <c r="R30" s="27">
        <f t="shared" si="15"/>
        <v>260.52159464498197</v>
      </c>
      <c r="S30" s="19">
        <f t="shared" si="16"/>
        <v>0</v>
      </c>
      <c r="T30" s="23">
        <f t="shared" si="17"/>
        <v>0</v>
      </c>
      <c r="U30" s="49">
        <f t="shared" si="18"/>
        <v>0</v>
      </c>
      <c r="V30" s="54">
        <v>0.66666666666666663</v>
      </c>
      <c r="W30" s="13">
        <f t="shared" si="19"/>
        <v>1807472.7157788211</v>
      </c>
      <c r="X30" s="25">
        <f t="shared" si="19"/>
        <v>206.25067183608093</v>
      </c>
    </row>
    <row r="31" spans="1:24" x14ac:dyDescent="0.2">
      <c r="A31" s="10">
        <v>28</v>
      </c>
      <c r="B31" s="15">
        <f t="shared" si="20"/>
        <v>739.47840535501814</v>
      </c>
      <c r="C31" s="27">
        <f t="shared" si="21"/>
        <v>96.840977761505542</v>
      </c>
      <c r="D31" s="19">
        <f t="shared" si="2"/>
        <v>0</v>
      </c>
      <c r="E31" s="20">
        <f t="shared" si="1"/>
        <v>56.435920178464308</v>
      </c>
      <c r="F31" s="27">
        <f t="shared" si="3"/>
        <v>52.871180310212665</v>
      </c>
      <c r="G31" s="19">
        <f t="shared" si="4"/>
        <v>49298.696162721892</v>
      </c>
      <c r="H31" s="20">
        <f t="shared" si="5"/>
        <v>27.114282889497041</v>
      </c>
      <c r="I31" s="27">
        <f t="shared" si="6"/>
        <v>35.024956282564233</v>
      </c>
      <c r="J31" s="19">
        <f t="shared" si="7"/>
        <v>146962.50405042502</v>
      </c>
      <c r="K31" s="20">
        <f t="shared" si="8"/>
        <v>14.492135816083577</v>
      </c>
      <c r="L31" s="27">
        <f t="shared" si="9"/>
        <v>13.344205431086507</v>
      </c>
      <c r="M31" s="19">
        <f t="shared" si="10"/>
        <v>180416.87202164804</v>
      </c>
      <c r="N31" s="20">
        <f t="shared" si="11"/>
        <v>2.7995721520600561</v>
      </c>
      <c r="O31" s="27">
        <f t="shared" si="12"/>
        <v>535.17392545426196</v>
      </c>
      <c r="P31" s="19">
        <f t="shared" si="13"/>
        <v>3150016.0338161387</v>
      </c>
      <c r="Q31" s="20">
        <f t="shared" si="14"/>
        <v>296.28863684409225</v>
      </c>
      <c r="R31" s="27">
        <f t="shared" si="15"/>
        <v>266.74475476036923</v>
      </c>
      <c r="S31" s="19">
        <f t="shared" si="16"/>
        <v>0</v>
      </c>
      <c r="T31" s="23">
        <f t="shared" si="17"/>
        <v>0</v>
      </c>
      <c r="U31" s="49">
        <f t="shared" si="18"/>
        <v>0</v>
      </c>
      <c r="V31" s="54">
        <v>1.3333333333333333</v>
      </c>
      <c r="W31" s="13">
        <f t="shared" si="19"/>
        <v>3526694.1060509337</v>
      </c>
      <c r="X31" s="25">
        <f t="shared" si="19"/>
        <v>397.13054788019724</v>
      </c>
    </row>
    <row r="32" spans="1:24" x14ac:dyDescent="0.2">
      <c r="A32" s="10">
        <v>29</v>
      </c>
      <c r="B32" s="15">
        <f t="shared" si="20"/>
        <v>733.25524523963088</v>
      </c>
      <c r="C32" s="27">
        <f t="shared" si="21"/>
        <v>89.093699540585106</v>
      </c>
      <c r="D32" s="19">
        <f t="shared" si="2"/>
        <v>0</v>
      </c>
      <c r="E32" s="20">
        <f t="shared" si="1"/>
        <v>25.20439153601319</v>
      </c>
      <c r="F32" s="27">
        <f t="shared" si="3"/>
        <v>51.663042412926956</v>
      </c>
      <c r="G32" s="19">
        <f t="shared" si="4"/>
        <v>23384.559054237518</v>
      </c>
      <c r="H32" s="20">
        <f t="shared" si="5"/>
        <v>12.861507479830635</v>
      </c>
      <c r="I32" s="27">
        <f t="shared" si="6"/>
        <v>34.257860881886863</v>
      </c>
      <c r="J32" s="19">
        <f t="shared" si="7"/>
        <v>69778.553498186753</v>
      </c>
      <c r="K32" s="20">
        <f t="shared" si="8"/>
        <v>6.880940692182306</v>
      </c>
      <c r="L32" s="27">
        <f t="shared" si="9"/>
        <v>12.894255935542944</v>
      </c>
      <c r="M32" s="19">
        <f t="shared" si="10"/>
        <v>84627.886626181164</v>
      </c>
      <c r="N32" s="20">
        <f t="shared" si="11"/>
        <v>1.3131913441993628</v>
      </c>
      <c r="O32" s="27">
        <f t="shared" si="12"/>
        <v>539.34149402470007</v>
      </c>
      <c r="P32" s="19">
        <f t="shared" si="13"/>
        <v>1541041.846919006</v>
      </c>
      <c r="Q32" s="20">
        <f t="shared" si="14"/>
        <v>144.9494806507976</v>
      </c>
      <c r="R32" s="27">
        <f t="shared" si="15"/>
        <v>272.74964720435815</v>
      </c>
      <c r="S32" s="19">
        <f t="shared" si="16"/>
        <v>0</v>
      </c>
      <c r="T32" s="23">
        <f t="shared" si="17"/>
        <v>0</v>
      </c>
      <c r="U32" s="49">
        <f t="shared" si="18"/>
        <v>0</v>
      </c>
      <c r="V32" s="54">
        <v>0.66666666666666663</v>
      </c>
      <c r="W32" s="13">
        <f t="shared" si="19"/>
        <v>1718832.8460976114</v>
      </c>
      <c r="X32" s="25">
        <f t="shared" si="19"/>
        <v>191.20951170302308</v>
      </c>
    </row>
    <row r="33" spans="1:24" ht="16" thickBot="1" x14ac:dyDescent="0.25">
      <c r="A33" s="11">
        <v>30</v>
      </c>
      <c r="B33" s="16">
        <f t="shared" si="20"/>
        <v>727.2503527956419</v>
      </c>
      <c r="C33" s="28">
        <f t="shared" si="21"/>
        <v>81.966203577338305</v>
      </c>
      <c r="D33" s="21">
        <f t="shared" si="2"/>
        <v>0</v>
      </c>
      <c r="E33" s="22">
        <f t="shared" si="1"/>
        <v>11.256330200549581</v>
      </c>
      <c r="F33" s="28">
        <f t="shared" si="3"/>
        <v>50.535385470020124</v>
      </c>
      <c r="G33" s="21">
        <f t="shared" si="4"/>
        <v>11103.951840363114</v>
      </c>
      <c r="H33" s="22">
        <f t="shared" si="5"/>
        <v>6.1071735121997124</v>
      </c>
      <c r="I33" s="28">
        <f t="shared" si="6"/>
        <v>33.541022498260666</v>
      </c>
      <c r="J33" s="21">
        <f t="shared" si="7"/>
        <v>33164.297207780495</v>
      </c>
      <c r="K33" s="22">
        <f t="shared" si="8"/>
        <v>3.2703681968783544</v>
      </c>
      <c r="L33" s="28">
        <f t="shared" si="9"/>
        <v>12.476744095460353</v>
      </c>
      <c r="M33" s="21">
        <f t="shared" si="10"/>
        <v>39751.29272179737</v>
      </c>
      <c r="N33" s="22">
        <f t="shared" si="11"/>
        <v>0.61683040430375224</v>
      </c>
      <c r="O33" s="28">
        <f t="shared" si="12"/>
        <v>542.92858198356817</v>
      </c>
      <c r="P33" s="21">
        <f t="shared" si="13"/>
        <v>753053.93670458801</v>
      </c>
      <c r="Q33" s="22">
        <f t="shared" si="14"/>
        <v>70.831805927659261</v>
      </c>
      <c r="R33" s="28">
        <f t="shared" si="15"/>
        <v>278.55206237535248</v>
      </c>
      <c r="S33" s="21">
        <f t="shared" si="16"/>
        <v>0</v>
      </c>
      <c r="T33" s="24">
        <f t="shared" si="17"/>
        <v>0</v>
      </c>
      <c r="U33" s="49">
        <f t="shared" si="18"/>
        <v>0</v>
      </c>
      <c r="V33" s="54">
        <v>0.33333333333333331</v>
      </c>
      <c r="W33" s="13">
        <f t="shared" si="19"/>
        <v>837073.47847452899</v>
      </c>
      <c r="X33" s="25">
        <f t="shared" si="19"/>
        <v>92.082508241590659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77860259.701636553</v>
      </c>
      <c r="X34" s="31">
        <f>SUM(X3:X33)</f>
        <v>15945.958774151324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2A97-0C6B-0942-A341-42981AFCBDC7}">
  <dimension ref="A1:Y113"/>
  <sheetViews>
    <sheetView workbookViewId="0">
      <selection activeCell="N39" sqref="N39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22.83203125" style="1" bestFit="1" customWidth="1"/>
    <col min="22" max="22" width="7.164062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2001" width="8.83203125" style="1"/>
    <col min="2002" max="2002" width="2.33203125" style="1" customWidth="1"/>
    <col min="2003" max="16384" width="8.83203125" style="1"/>
  </cols>
  <sheetData>
    <row r="1" spans="1:25" x14ac:dyDescent="0.2">
      <c r="C1" s="213" t="s">
        <v>7</v>
      </c>
      <c r="D1" s="214"/>
      <c r="E1" s="215"/>
      <c r="F1" s="216" t="s">
        <v>8</v>
      </c>
      <c r="G1" s="217"/>
      <c r="H1" s="218"/>
      <c r="I1" s="219" t="s">
        <v>9</v>
      </c>
      <c r="J1" s="220"/>
      <c r="K1" s="221"/>
      <c r="L1" s="222" t="s">
        <v>10</v>
      </c>
      <c r="M1" s="223"/>
      <c r="N1" s="224"/>
      <c r="O1" s="225" t="s">
        <v>11</v>
      </c>
      <c r="P1" s="226"/>
      <c r="Q1" s="227"/>
      <c r="R1" s="210" t="s">
        <v>255</v>
      </c>
      <c r="S1" s="211"/>
      <c r="T1" s="212"/>
      <c r="U1" s="165" t="s">
        <v>256</v>
      </c>
    </row>
    <row r="2" spans="1:25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7">
        <f>0</f>
        <v>0</v>
      </c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>SUM(C4,F4,I4,L4,O4)</f>
        <v>995.78010119984822</v>
      </c>
      <c r="C4" s="27">
        <f>(1-SUM(pHealthyStage1,pHealthyStage2,pHealthyStage3))*C3*(1-'Life Table - Male'!B48)</f>
        <v>916.11769310386035</v>
      </c>
      <c r="D4" s="19">
        <f t="shared" ref="D4:D33" si="2">C4*0*W4/(1+discount_rate)^A4</f>
        <v>0</v>
      </c>
      <c r="E4" s="20">
        <f t="shared" si="1"/>
        <v>592.95643566592901</v>
      </c>
      <c r="F4" s="27">
        <f>SUM(pHealthyStage1*C3,(1-SUM(pStage1Remission,pStage1Stage2))*F3,pStage2Stage1*I3,pRemissionStage1_trtB*O3)*(1-'Life Table - Male'!B48)</f>
        <v>49.789005059992405</v>
      </c>
      <c r="G4" s="19">
        <f t="shared" ref="G4:G33" si="3">F4*SUM(nVisitsStage1*cVisit,cTreatmentStage1)*W4/(1+discount_rate)^A4</f>
        <v>51561.429188341644</v>
      </c>
      <c r="H4" s="20">
        <f t="shared" ref="H4:H33" si="4">F4*uStage1*W4/(1+discount_rate)^A4</f>
        <v>28.358786053587906</v>
      </c>
      <c r="I4" s="27">
        <f>SUM(pHealthyStage2*C3,pStage1Stage2*F3,(1-SUM(pStage2Remission, pStage2Stage1, pStage2Stage3))*I3,pStage3Stage2*L3,pRemissionStage2_trtB*O3)*(1-'Life Table - Male'!B48)</f>
        <v>19.915602023996964</v>
      </c>
      <c r="J4" s="19">
        <f t="shared" ref="J4:J33" si="5">I4*SUM(nVisitsStage2*cVisit,cTreatmentStage2)*W4/(1+discount_rate)^A4</f>
        <v>92810.57253901496</v>
      </c>
      <c r="K4" s="20">
        <f t="shared" ref="K4:K33" si="6">I4*uStage2*W4/(1+discount_rate)^A4</f>
        <v>9.1521536809306419</v>
      </c>
      <c r="L4" s="27">
        <f>SUM(pHealthyStage3*C3,pStage2Stage3*I3,(1-SUM(pStage3Death, pStage3Stage2))*L3)*(1-'Life Table - Male'!B48)</f>
        <v>9.9578010119984821</v>
      </c>
      <c r="M4" s="19">
        <f t="shared" ref="M4:M33" si="7">L4*SUM(nVisitsStage3*cVisit,cTreatmentStage3)*W4/(1+discount_rate)^A4</f>
        <v>149528.14464619081</v>
      </c>
      <c r="N4" s="20">
        <f t="shared" ref="N4:N33" si="8">L4*uStage3*W4/(1+discount_rate)^A4</f>
        <v>2.3202643134753744</v>
      </c>
      <c r="O4" s="27">
        <f>SUM(pStage1Remission*F3,pStage2Remission*I3,(1-SUM(pRemissionStage1_trtB, pRemissionStage2_trtB))*O3)*(1-'Life Table - Male'!B48)</f>
        <v>0</v>
      </c>
      <c r="P4" s="19">
        <f t="shared" ref="P4:P33" si="9">O4*SUM(nVisitsRemission*cVisit, cTrtB)*W4/(1+discount_rate)^A4</f>
        <v>0</v>
      </c>
      <c r="Q4" s="20">
        <f t="shared" ref="Q4:Q33" si="10">O4*uRemission*W4/(1+discount_rate)^A4</f>
        <v>0</v>
      </c>
      <c r="R4" s="27">
        <f>SUM(pStage3Death*L3*(1-'Life Table - Male'!B48),R3)</f>
        <v>0</v>
      </c>
      <c r="S4" s="19">
        <f t="shared" ref="S4:S33" si="11">R4*0*W4/(1+discount_rate)^A4</f>
        <v>0</v>
      </c>
      <c r="T4" s="23">
        <f t="shared" ref="T4:T33" si="12">R4*0*W4/(1+discount_rate)^A4</f>
        <v>0</v>
      </c>
      <c r="U4" s="13">
        <f>SUM(B3*'Life Table - Male'!B48,U3)</f>
        <v>4.21989880015186</v>
      </c>
      <c r="V4" s="49">
        <f>SUM(C4,F4,I4,L4,O4,R4-R3,U4-U3)-B3</f>
        <v>0</v>
      </c>
      <c r="W4" s="54">
        <v>0.66666666666666663</v>
      </c>
      <c r="X4" s="13">
        <f>SUM(D4,G4,J4,M4,P4,S4)</f>
        <v>293900.14637354738</v>
      </c>
      <c r="Y4" s="25">
        <f>SUM(E4,H4,K4,N4,Q4,T4)</f>
        <v>632.78763971392289</v>
      </c>
    </row>
    <row r="5" spans="1:25" x14ac:dyDescent="0.2">
      <c r="A5" s="10">
        <v>2</v>
      </c>
      <c r="B5" s="15">
        <f t="shared" ref="B5:B33" si="13">SUM(C5,F5,I5,L5,O5)</f>
        <v>986.83511862817306</v>
      </c>
      <c r="C5" s="27">
        <f>(1-SUM(pHealthyStage1,pHealthyStage2,pHealthyStage3))*C4*(1-'Life Table - Male'!B49)</f>
        <v>839.03289242278834</v>
      </c>
      <c r="D5" s="19">
        <f t="shared" si="2"/>
        <v>0</v>
      </c>
      <c r="E5" s="20">
        <f t="shared" si="1"/>
        <v>1054.4919627018421</v>
      </c>
      <c r="F5" s="27">
        <f>SUM(pHealthyStage1*C4,(1-SUM(pStage1Remission,pStage1Stage2))*F4,pStage2Stage1*I4,pRemissionStage1_trtB*O4)*(1-'Life Table - Male'!B49)</f>
        <v>78.808028057197134</v>
      </c>
      <c r="G5" s="19">
        <f t="shared" si="3"/>
        <v>158472.79968770593</v>
      </c>
      <c r="H5" s="20">
        <f t="shared" si="4"/>
        <v>87.160039828238254</v>
      </c>
      <c r="I5" s="27">
        <f>SUM(pHealthyStage2*C4,pStage1Stage2*F4,(1-SUM(pStage2Remission, pStage2Stage1, pStage2Stage3))*I4,pStage3Stage2*L4,pRemissionStage2_trtB*O4)*(1-'Life Table - Male'!B49)</f>
        <v>35.587524619539344</v>
      </c>
      <c r="J5" s="19">
        <f t="shared" si="5"/>
        <v>322028.68917671568</v>
      </c>
      <c r="K5" s="20">
        <f t="shared" si="6"/>
        <v>31.755606849370576</v>
      </c>
      <c r="L5" s="27">
        <f>SUM(pHealthyStage3*C4,pStage2Stage3*I4,(1-SUM(pStage3Death, pStage3Stage2))*L4)*(1-'Life Table - Male'!B49)</f>
        <v>17.050290346965927</v>
      </c>
      <c r="M5" s="19">
        <f t="shared" si="7"/>
        <v>497146.11625300464</v>
      </c>
      <c r="N5" s="20">
        <f t="shared" si="8"/>
        <v>7.7143362866845546</v>
      </c>
      <c r="O5" s="27">
        <f>SUM(pStage1Remission*F4,pStage2Remission*I4,(1-SUM(pRemissionStage1_trtB, pRemissionStage2_trtB))*O4)*(1-'Life Table - Male'!B49)</f>
        <v>16.356383181682425</v>
      </c>
      <c r="P5" s="19">
        <f t="shared" si="9"/>
        <v>156230.26006948369</v>
      </c>
      <c r="Q5" s="20">
        <f t="shared" si="10"/>
        <v>19.52878250868546</v>
      </c>
      <c r="R5" s="27">
        <f>SUM(pStage3Death*L4*(1-'Life Table - Male'!B49),R4)</f>
        <v>4.4608317768224799</v>
      </c>
      <c r="S5" s="19">
        <f t="shared" si="11"/>
        <v>0</v>
      </c>
      <c r="T5" s="23">
        <f t="shared" si="12"/>
        <v>0</v>
      </c>
      <c r="U5" s="13">
        <f>SUM(B4*'Life Table - Male'!B49,U4)</f>
        <v>8.704049595004502</v>
      </c>
      <c r="V5" s="49">
        <f t="shared" ref="V5:V33" si="14">SUM(C5,F5,I5,L5,O5,R5-R4,U5-U4)-B4</f>
        <v>0</v>
      </c>
      <c r="W5" s="54">
        <v>1.3333333333333333</v>
      </c>
      <c r="X5" s="13">
        <f t="shared" ref="X5:Y33" si="15">SUM(D5,G5,J5,M5,P5,S5)</f>
        <v>1133877.8651869099</v>
      </c>
      <c r="Y5" s="25">
        <f t="shared" si="15"/>
        <v>1200.6507281748211</v>
      </c>
    </row>
    <row r="6" spans="1:25" x14ac:dyDescent="0.2">
      <c r="A6" s="10">
        <v>3</v>
      </c>
      <c r="B6" s="15">
        <f t="shared" si="13"/>
        <v>974.44456533342884</v>
      </c>
      <c r="C6" s="27">
        <f>(1-SUM(pHealthyStage1,pHealthyStage2,pHealthyStage3))*C5*(1-'Life Table - Male'!B50)</f>
        <v>768.19094688017037</v>
      </c>
      <c r="D6" s="19">
        <f t="shared" si="2"/>
        <v>0</v>
      </c>
      <c r="E6" s="20">
        <f t="shared" si="1"/>
        <v>468.66902521866257</v>
      </c>
      <c r="F6" s="27">
        <f>SUM(pHealthyStage1*C5,(1-SUM(pStage1Remission,pStage1Stage2))*F5,pStage2Stage1*I5,pRemissionStage1_trtB*O5)*(1-'Life Table - Male'!B50)</f>
        <v>95.800914938374987</v>
      </c>
      <c r="G6" s="19">
        <f t="shared" si="3"/>
        <v>93516.168815205747</v>
      </c>
      <c r="H6" s="20">
        <f t="shared" si="4"/>
        <v>51.433892848363158</v>
      </c>
      <c r="I6" s="27">
        <f>SUM(pHealthyStage2*C5,pStage1Stage2*F5,(1-SUM(pStage2Remission, pStage2Stage1, pStage2Stage3))*I5,pStage3Stage2*L5,pRemissionStage2_trtB*O5)*(1-'Life Table - Male'!B50)</f>
        <v>47.128999169508681</v>
      </c>
      <c r="J6" s="19">
        <f t="shared" si="5"/>
        <v>207022.61041746169</v>
      </c>
      <c r="K6" s="20">
        <f t="shared" si="6"/>
        <v>20.414729638388582</v>
      </c>
      <c r="L6" s="27">
        <f>SUM(pHealthyStage3*C5,pStage2Stage3*I5,(1-SUM(pStage3Death, pStage3Stage2))*L5)*(1-'Life Table - Male'!B50)</f>
        <v>22.146377710344765</v>
      </c>
      <c r="M6" s="19">
        <f t="shared" si="7"/>
        <v>313464.06002597086</v>
      </c>
      <c r="N6" s="20">
        <f t="shared" si="8"/>
        <v>4.8640974831616157</v>
      </c>
      <c r="O6" s="27">
        <f>SUM(pStage1Remission*F5,pStage2Remission*I5,(1-SUM(pRemissionStage1_trtB, pRemissionStage2_trtB))*O5)*(1-'Life Table - Male'!B50)</f>
        <v>41.177326635030077</v>
      </c>
      <c r="P6" s="19">
        <f t="shared" si="9"/>
        <v>190927.64092417629</v>
      </c>
      <c r="Q6" s="20">
        <f t="shared" si="10"/>
        <v>23.865955115522034</v>
      </c>
      <c r="R6" s="27">
        <f>SUM(pStage3Death*L5*(1-'Life Table - Male'!B50),R5)</f>
        <v>12.096493208426047</v>
      </c>
      <c r="S6" s="19">
        <f t="shared" si="11"/>
        <v>0</v>
      </c>
      <c r="T6" s="23">
        <f t="shared" si="12"/>
        <v>0</v>
      </c>
      <c r="U6" s="13">
        <f>SUM(B5*'Life Table - Male'!B50,U5)</f>
        <v>13.458941458145318</v>
      </c>
      <c r="V6" s="49">
        <f t="shared" si="14"/>
        <v>0</v>
      </c>
      <c r="W6" s="54">
        <v>0.66666666666666663</v>
      </c>
      <c r="X6" s="13">
        <f t="shared" si="15"/>
        <v>804930.48018281453</v>
      </c>
      <c r="Y6" s="25">
        <f t="shared" si="15"/>
        <v>569.24770030409798</v>
      </c>
    </row>
    <row r="7" spans="1:25" x14ac:dyDescent="0.2">
      <c r="A7" s="10">
        <v>4</v>
      </c>
      <c r="B7" s="15">
        <f t="shared" si="13"/>
        <v>959.4948421618692</v>
      </c>
      <c r="C7" s="27">
        <f>(1-SUM(pHealthyStage1,pHealthyStage2,pHealthyStage3))*C6*(1-'Life Table - Male'!B51)</f>
        <v>703.08368083241612</v>
      </c>
      <c r="D7" s="19">
        <f t="shared" si="2"/>
        <v>0</v>
      </c>
      <c r="E7" s="20">
        <f t="shared" si="1"/>
        <v>832.90765869398649</v>
      </c>
      <c r="F7" s="27">
        <f>SUM(pHealthyStage1*C6,(1-SUM(pStage1Remission,pStage1Stage2))*F6,pStage2Stage1*I6,pRemissionStage1_trtB*O6)*(1-'Life Table - Male'!B51)</f>
        <v>105.78132381971054</v>
      </c>
      <c r="G7" s="19">
        <f t="shared" si="3"/>
        <v>200502.05040040144</v>
      </c>
      <c r="H7" s="20">
        <f t="shared" si="4"/>
        <v>110.27612772022079</v>
      </c>
      <c r="I7" s="27">
        <f>SUM(pHealthyStage2*C6,pStage1Stage2*F6,(1-SUM(pStage2Remission, pStage2Stage1, pStage2Stage3))*I6,pStage3Stage2*L6,pRemissionStage2_trtB*O6)*(1-'Life Table - Male'!B51)</f>
        <v>55.276827124455757</v>
      </c>
      <c r="J7" s="19">
        <f t="shared" si="5"/>
        <v>471482.35151955433</v>
      </c>
      <c r="K7" s="20">
        <f t="shared" si="6"/>
        <v>46.493398552622715</v>
      </c>
      <c r="L7" s="27">
        <f>SUM(pHealthyStage3*C6,pStage2Stage3*I6,(1-SUM(pStage3Death, pStage3Stage2))*L6)*(1-'Life Table - Male'!B51)</f>
        <v>25.691002785349585</v>
      </c>
      <c r="M7" s="19">
        <f t="shared" si="7"/>
        <v>706088.07835703564</v>
      </c>
      <c r="N7" s="20">
        <f t="shared" si="8"/>
        <v>10.956539146919516</v>
      </c>
      <c r="O7" s="27">
        <f>SUM(pStage1Remission*F6,pStage2Remission*I6,(1-SUM(pRemissionStage1_trtB, pRemissionStage2_trtB))*O6)*(1-'Life Table - Male'!B51)</f>
        <v>69.662007599937155</v>
      </c>
      <c r="P7" s="19">
        <f t="shared" si="9"/>
        <v>627190.42037473095</v>
      </c>
      <c r="Q7" s="20">
        <f t="shared" si="10"/>
        <v>78.398802546841367</v>
      </c>
      <c r="R7" s="27">
        <f>SUM(pStage3Death*L6*(1-'Life Table - Male'!B51),R6)</f>
        <v>22.010865479690565</v>
      </c>
      <c r="S7" s="19">
        <f t="shared" si="11"/>
        <v>0</v>
      </c>
      <c r="T7" s="23">
        <f t="shared" si="12"/>
        <v>0</v>
      </c>
      <c r="U7" s="13">
        <f>SUM(B6*'Life Table - Male'!B51,U6)</f>
        <v>18.494292358440504</v>
      </c>
      <c r="V7" s="49">
        <f t="shared" si="14"/>
        <v>0</v>
      </c>
      <c r="W7" s="54">
        <v>1.3333333333333333</v>
      </c>
      <c r="X7" s="13">
        <f t="shared" si="15"/>
        <v>2005262.9006517222</v>
      </c>
      <c r="Y7" s="25">
        <f t="shared" si="15"/>
        <v>1079.032526660591</v>
      </c>
    </row>
    <row r="8" spans="1:25" x14ac:dyDescent="0.2">
      <c r="A8" s="10">
        <v>5</v>
      </c>
      <c r="B8" s="15">
        <f t="shared" si="13"/>
        <v>942.66775265627689</v>
      </c>
      <c r="C8" s="27">
        <f>(1-SUM(pHealthyStage1,pHealthyStage2,pHealthyStage3))*C7*(1-'Life Table - Male'!B52)</f>
        <v>643.24355751018345</v>
      </c>
      <c r="D8" s="19">
        <f t="shared" si="2"/>
        <v>0</v>
      </c>
      <c r="E8" s="20">
        <f t="shared" si="1"/>
        <v>369.91169547120296</v>
      </c>
      <c r="F8" s="27">
        <f>SUM(pHealthyStage1*C7,(1-SUM(pStage1Remission,pStage1Stage2))*F7,pStage2Stage1*I7,pRemissionStage1_trtB*O7)*(1-'Life Table - Male'!B52)</f>
        <v>111.62526086740947</v>
      </c>
      <c r="G8" s="19">
        <f t="shared" si="3"/>
        <v>102708.19262229471</v>
      </c>
      <c r="H8" s="20">
        <f t="shared" si="4"/>
        <v>56.489505942262085</v>
      </c>
      <c r="I8" s="27">
        <f>SUM(pHealthyStage2*C7,pStage1Stage2*F7,(1-SUM(pStage2Remission, pStage2Stage1, pStage2Stage3))*I7,pStage3Stage2*L7,pRemissionStage2_trtB*O7)*(1-'Life Table - Male'!B52)</f>
        <v>60.840432414978238</v>
      </c>
      <c r="J8" s="19">
        <f t="shared" si="5"/>
        <v>251911.15894507806</v>
      </c>
      <c r="K8" s="20">
        <f t="shared" si="6"/>
        <v>24.841239284861867</v>
      </c>
      <c r="L8" s="27">
        <f>SUM(pHealthyStage3*C7,pStage2Stage3*I7,(1-SUM(pStage3Death, pStage3Stage2))*L7)*(1-'Life Table - Male'!B52)</f>
        <v>28.011378934275214</v>
      </c>
      <c r="M8" s="19">
        <f t="shared" si="7"/>
        <v>373718.92501928558</v>
      </c>
      <c r="N8" s="20">
        <f t="shared" si="8"/>
        <v>5.7990867675406381</v>
      </c>
      <c r="O8" s="27">
        <f>SUM(pStage1Remission*F7,pStage2Remission*I7,(1-SUM(pRemissionStage1_trtB, pRemissionStage2_trtB))*O7)*(1-'Life Table - Male'!B52)</f>
        <v>98.947122929430677</v>
      </c>
      <c r="P8" s="19">
        <f t="shared" si="9"/>
        <v>432453.46430423099</v>
      </c>
      <c r="Q8" s="20">
        <f t="shared" si="10"/>
        <v>54.056683038028872</v>
      </c>
      <c r="R8" s="27">
        <f>SUM(pStage3Death*L7*(1-'Life Table - Male'!B52),R7)</f>
        <v>33.507591191410718</v>
      </c>
      <c r="S8" s="19">
        <f t="shared" si="11"/>
        <v>0</v>
      </c>
      <c r="T8" s="23">
        <f t="shared" si="12"/>
        <v>0</v>
      </c>
      <c r="U8" s="13">
        <f>SUM(B7*'Life Table - Male'!B52,U7)</f>
        <v>23.824656152312539</v>
      </c>
      <c r="V8" s="49">
        <f t="shared" si="14"/>
        <v>0</v>
      </c>
      <c r="W8" s="54">
        <v>0.66666666666666663</v>
      </c>
      <c r="X8" s="13">
        <f t="shared" si="15"/>
        <v>1160791.7408908894</v>
      </c>
      <c r="Y8" s="25">
        <f t="shared" si="15"/>
        <v>511.09821050389644</v>
      </c>
    </row>
    <row r="9" spans="1:25" x14ac:dyDescent="0.2">
      <c r="A9" s="10">
        <v>6</v>
      </c>
      <c r="B9" s="15">
        <f t="shared" si="13"/>
        <v>924.53235218536304</v>
      </c>
      <c r="C9" s="27">
        <f>(1-SUM(pHealthyStage1,pHealthyStage2,pHealthyStage3))*C8*(1-'Life Table - Male'!B53)</f>
        <v>588.26524366029503</v>
      </c>
      <c r="D9" s="19">
        <f t="shared" si="2"/>
        <v>0</v>
      </c>
      <c r="E9" s="20">
        <f t="shared" si="1"/>
        <v>656.88384042622806</v>
      </c>
      <c r="F9" s="27">
        <f>SUM(pHealthyStage1*C8,(1-SUM(pStage1Remission,pStage1Stage2))*F8,pStage2Stage1*I8,pRemissionStage1_trtB*O8)*(1-'Life Table - Male'!B53)</f>
        <v>114.98856122331919</v>
      </c>
      <c r="G9" s="19">
        <f t="shared" si="3"/>
        <v>205442.36740956662</v>
      </c>
      <c r="H9" s="20">
        <f t="shared" si="4"/>
        <v>112.99330207526164</v>
      </c>
      <c r="I9" s="27">
        <f>SUM(pHealthyStage2*C8,pStage1Stage2*F8,(1-SUM(pStage2Remission, pStage2Stage1, pStage2Stage3))*I8,pStage3Stage2*L8,pRemissionStage2_trtB*O8)*(1-'Life Table - Male'!B53)</f>
        <v>64.514731219281259</v>
      </c>
      <c r="J9" s="19">
        <f t="shared" si="5"/>
        <v>518688.68851512502</v>
      </c>
      <c r="K9" s="20">
        <f t="shared" si="6"/>
        <v>51.148467895241481</v>
      </c>
      <c r="L9" s="27">
        <f>SUM(pHealthyStage3*C8,pStage2Stage3*I8,(1-SUM(pStage3Death, pStage3Stage2))*L8)*(1-'Life Table - Male'!B53)</f>
        <v>29.388397177166517</v>
      </c>
      <c r="M9" s="19">
        <f t="shared" si="7"/>
        <v>761341.09758533956</v>
      </c>
      <c r="N9" s="20">
        <f t="shared" si="8"/>
        <v>11.813913583220788</v>
      </c>
      <c r="O9" s="27">
        <f>SUM(pStage1Remission*F8,pStage2Remission*I8,(1-SUM(pRemissionStage1_trtB, pRemissionStage2_trtB))*O8)*(1-'Life Table - Male'!B53)</f>
        <v>127.37541890530095</v>
      </c>
      <c r="P9" s="19">
        <f t="shared" si="9"/>
        <v>1080972.4012863073</v>
      </c>
      <c r="Q9" s="20">
        <f t="shared" si="10"/>
        <v>135.12155016078842</v>
      </c>
      <c r="R9" s="27">
        <f>SUM(pStage3Death*L8*(1-'Life Table - Male'!B53),R8)</f>
        <v>46.037759936675585</v>
      </c>
      <c r="S9" s="19">
        <f t="shared" si="11"/>
        <v>0</v>
      </c>
      <c r="T9" s="23">
        <f t="shared" si="12"/>
        <v>0</v>
      </c>
      <c r="U9" s="13">
        <f>SUM(B8*'Life Table - Male'!B53,U8)</f>
        <v>29.429887877961676</v>
      </c>
      <c r="V9" s="49">
        <f t="shared" si="14"/>
        <v>0</v>
      </c>
      <c r="W9" s="54">
        <v>1.3333333333333333</v>
      </c>
      <c r="X9" s="13">
        <f t="shared" si="15"/>
        <v>2566444.5547963385</v>
      </c>
      <c r="Y9" s="25">
        <f t="shared" si="15"/>
        <v>967.96107414074049</v>
      </c>
    </row>
    <row r="10" spans="1:25" x14ac:dyDescent="0.2">
      <c r="A10" s="10">
        <v>7</v>
      </c>
      <c r="B10" s="15">
        <f t="shared" si="13"/>
        <v>905.46780725547114</v>
      </c>
      <c r="C10" s="27">
        <f>(1-SUM(pHealthyStage1,pHealthyStage2,pHealthyStage3))*C9*(1-'Life Table - Male'!B54)</f>
        <v>537.73592507580793</v>
      </c>
      <c r="D10" s="19">
        <f t="shared" si="2"/>
        <v>0</v>
      </c>
      <c r="E10" s="20">
        <f t="shared" si="1"/>
        <v>291.48567734900342</v>
      </c>
      <c r="F10" s="27">
        <f>SUM(pHealthyStage1*C9,(1-SUM(pStage1Remission,pStage1Stage2))*F9,pStage2Stage1*I9,pRemissionStage1_trtB*O9)*(1-'Life Table - Male'!B54)</f>
        <v>116.8181844183724</v>
      </c>
      <c r="G10" s="19">
        <f t="shared" si="3"/>
        <v>101316.13239586243</v>
      </c>
      <c r="H10" s="20">
        <f t="shared" si="4"/>
        <v>55.723872817724327</v>
      </c>
      <c r="I10" s="27">
        <f>SUM(pHealthyStage2*C9,pStage1Stage2*F9,(1-SUM(pStage2Remission, pStage2Stage1, pStage2Stage3))*I9,pStage3Stage2*L9,pRemissionStage2_trtB*O9)*(1-'Life Table - Male'!B54)</f>
        <v>66.832648560319356</v>
      </c>
      <c r="J10" s="19">
        <f t="shared" si="5"/>
        <v>260837.08427994855</v>
      </c>
      <c r="K10" s="20">
        <f t="shared" si="6"/>
        <v>25.721434699828258</v>
      </c>
      <c r="L10" s="27">
        <f>SUM(pHealthyStage3*C9,pStage2Stage3*I9,(1-SUM(pStage3Death, pStage3Stage2))*L9)*(1-'Life Table - Male'!B54)</f>
        <v>30.060189125873844</v>
      </c>
      <c r="M10" s="19">
        <f t="shared" si="7"/>
        <v>378031.38859791495</v>
      </c>
      <c r="N10" s="20">
        <f t="shared" si="8"/>
        <v>5.8660043058297147</v>
      </c>
      <c r="O10" s="27">
        <f>SUM(pStage1Remission*F9,pStage2Remission*I9,(1-SUM(pRemissionStage1_trtB, pRemissionStage2_trtB))*O9)*(1-'Life Table - Male'!B54)</f>
        <v>154.02086007509746</v>
      </c>
      <c r="P10" s="19">
        <f t="shared" si="9"/>
        <v>634514.13974411192</v>
      </c>
      <c r="Q10" s="20">
        <f t="shared" si="10"/>
        <v>79.314267468013995</v>
      </c>
      <c r="R10" s="27">
        <f>SUM(pStage3Death*L9*(1-'Life Table - Male'!B54),R9)</f>
        <v>59.177792727619732</v>
      </c>
      <c r="S10" s="19">
        <f t="shared" si="11"/>
        <v>0</v>
      </c>
      <c r="T10" s="23">
        <f t="shared" si="12"/>
        <v>0</v>
      </c>
      <c r="U10" s="13">
        <f>SUM(B9*'Life Table - Male'!B54,U9)</f>
        <v>35.354400016909537</v>
      </c>
      <c r="V10" s="49">
        <f t="shared" si="14"/>
        <v>0</v>
      </c>
      <c r="W10" s="54">
        <v>0.66666666666666663</v>
      </c>
      <c r="X10" s="13">
        <f t="shared" si="15"/>
        <v>1374698.7450178377</v>
      </c>
      <c r="Y10" s="25">
        <f t="shared" si="15"/>
        <v>458.11125664039974</v>
      </c>
    </row>
    <row r="11" spans="1:25" x14ac:dyDescent="0.2">
      <c r="A11" s="10">
        <v>8</v>
      </c>
      <c r="B11" s="15">
        <f t="shared" si="13"/>
        <v>885.73413445799395</v>
      </c>
      <c r="C11" s="27">
        <f>(1-SUM(pHealthyStage1,pHealthyStage2,pHealthyStage3))*C10*(1-'Life Table - Male'!B55)</f>
        <v>491.27455238864513</v>
      </c>
      <c r="D11" s="19">
        <f t="shared" si="2"/>
        <v>0</v>
      </c>
      <c r="E11" s="20">
        <f t="shared" si="1"/>
        <v>517.08889098538918</v>
      </c>
      <c r="F11" s="27">
        <f>SUM(pHealthyStage1*C10,(1-SUM(pStage1Remission,pStage1Stage2))*F10,pStage2Stage1*I10,pRemissionStage1_trtB*O10)*(1-'Life Table - Male'!B55)</f>
        <v>117.65745852341131</v>
      </c>
      <c r="G11" s="19">
        <f t="shared" si="3"/>
        <v>198143.75305448484</v>
      </c>
      <c r="H11" s="20">
        <f t="shared" si="4"/>
        <v>108.97906417996666</v>
      </c>
      <c r="I11" s="27">
        <f>SUM(pHealthyStage2*C10,pStage1Stage2*F10,(1-SUM(pStage2Remission, pStage2Stage1, pStage2Stage3))*I10,pStage3Stage2*L10,pRemissionStage2_trtB*O10)*(1-'Life Table - Male'!B55)</f>
        <v>68.181990989687819</v>
      </c>
      <c r="J11" s="19">
        <f t="shared" si="5"/>
        <v>516705.53569122363</v>
      </c>
      <c r="K11" s="20">
        <f t="shared" si="6"/>
        <v>50.952906991773439</v>
      </c>
      <c r="L11" s="27">
        <f>SUM(pHealthyStage3*C10,pStage2Stage3*I10,(1-SUM(pStage3Death, pStage3Stage2))*L10)*(1-'Life Table - Male'!B55)</f>
        <v>30.220586962485864</v>
      </c>
      <c r="M11" s="19">
        <f t="shared" si="7"/>
        <v>737958.29549081239</v>
      </c>
      <c r="N11" s="20">
        <f t="shared" si="8"/>
        <v>11.451076998995363</v>
      </c>
      <c r="O11" s="27">
        <f>SUM(pStage1Remission*F10,pStage2Remission*I10,(1-SUM(pRemissionStage1_trtB, pRemissionStage2_trtB))*O10)*(1-'Life Table - Male'!B55)</f>
        <v>178.3995455937638</v>
      </c>
      <c r="P11" s="19">
        <f t="shared" si="9"/>
        <v>1427079.8533831553</v>
      </c>
      <c r="Q11" s="20">
        <f t="shared" si="10"/>
        <v>178.38498167289438</v>
      </c>
      <c r="R11" s="27">
        <f>SUM(pStage3Death*L10*(1-'Life Table - Male'!B55),R10)</f>
        <v>72.610749336896589</v>
      </c>
      <c r="S11" s="19">
        <f t="shared" si="11"/>
        <v>0</v>
      </c>
      <c r="T11" s="23">
        <f t="shared" si="12"/>
        <v>0</v>
      </c>
      <c r="U11" s="13">
        <f>SUM(B10*'Life Table - Male'!B55,U10)</f>
        <v>41.655116205109735</v>
      </c>
      <c r="V11" s="49">
        <f t="shared" si="14"/>
        <v>0</v>
      </c>
      <c r="W11" s="54">
        <v>1.3333333333333333</v>
      </c>
      <c r="X11" s="13">
        <f t="shared" si="15"/>
        <v>2879887.4376196759</v>
      </c>
      <c r="Y11" s="25">
        <f t="shared" si="15"/>
        <v>866.85692082901915</v>
      </c>
    </row>
    <row r="12" spans="1:25" x14ac:dyDescent="0.2">
      <c r="A12" s="10">
        <v>9</v>
      </c>
      <c r="B12" s="15">
        <f t="shared" si="13"/>
        <v>865.5002959926577</v>
      </c>
      <c r="C12" s="27">
        <f>(1-SUM(pHealthyStage1,pHealthyStage2,pHealthyStage3))*C11*(1-'Life Table - Male'!B56)</f>
        <v>448.53430607565599</v>
      </c>
      <c r="D12" s="19">
        <f t="shared" si="2"/>
        <v>0</v>
      </c>
      <c r="E12" s="20">
        <f t="shared" si="1"/>
        <v>229.17613147101363</v>
      </c>
      <c r="F12" s="27">
        <f>SUM(pHealthyStage1*C11,(1-SUM(pStage1Remission,pStage1Stage2))*F11,pStage2Stage1*I11,pRemissionStage1_trtB*O11)*(1-'Life Table - Male'!B56)</f>
        <v>117.81898628020986</v>
      </c>
      <c r="G12" s="19">
        <f t="shared" si="3"/>
        <v>96318.338637778186</v>
      </c>
      <c r="H12" s="20">
        <f t="shared" si="4"/>
        <v>52.975086250777998</v>
      </c>
      <c r="I12" s="27">
        <f>SUM(pHealthyStage2*C11,pStage1Stage2*F11,(1-SUM(pStage2Remission, pStage2Stage1, pStage2Stage3))*I11,pStage3Stage2*L11,pRemissionStage2_trtB*O11)*(1-'Life Table - Male'!B56)</f>
        <v>68.835780031184029</v>
      </c>
      <c r="J12" s="19">
        <f t="shared" si="5"/>
        <v>253233.0892791588</v>
      </c>
      <c r="K12" s="20">
        <f t="shared" si="6"/>
        <v>24.971596303917046</v>
      </c>
      <c r="L12" s="27">
        <f>SUM(pHealthyStage3*C11,pStage2Stage3*I11,(1-SUM(pStage3Death, pStage3Stage2))*L11)*(1-'Life Table - Male'!B56)</f>
        <v>30.020214858856306</v>
      </c>
      <c r="M12" s="19">
        <f t="shared" si="7"/>
        <v>355856.98896798358</v>
      </c>
      <c r="N12" s="20">
        <f t="shared" si="8"/>
        <v>5.5219187943307793</v>
      </c>
      <c r="O12" s="27">
        <f>SUM(pStage1Remission*F11,pStage2Remission*I11,(1-SUM(pRemissionStage1_trtB, pRemissionStage2_trtB))*O11)*(1-'Life Table - Male'!B56)</f>
        <v>200.29100874675149</v>
      </c>
      <c r="P12" s="19">
        <f t="shared" si="9"/>
        <v>777765.66090357001</v>
      </c>
      <c r="Q12" s="20">
        <f t="shared" si="10"/>
        <v>97.220707612946242</v>
      </c>
      <c r="R12" s="27">
        <f>SUM(pStage3Death*L11*(1-'Life Table - Male'!B56),R11)</f>
        <v>86.106560057217933</v>
      </c>
      <c r="S12" s="19">
        <f t="shared" si="11"/>
        <v>0</v>
      </c>
      <c r="T12" s="23">
        <f t="shared" si="12"/>
        <v>0</v>
      </c>
      <c r="U12" s="13">
        <f>SUM(B11*'Life Table - Male'!B56,U11)</f>
        <v>48.393143950124667</v>
      </c>
      <c r="V12" s="49">
        <f t="shared" si="14"/>
        <v>0</v>
      </c>
      <c r="W12" s="54">
        <v>0.66666666666666663</v>
      </c>
      <c r="X12" s="13">
        <f t="shared" si="15"/>
        <v>1483174.0777884906</v>
      </c>
      <c r="Y12" s="25">
        <f t="shared" si="15"/>
        <v>409.86544043298568</v>
      </c>
    </row>
    <row r="13" spans="1:25" x14ac:dyDescent="0.2">
      <c r="A13" s="10">
        <v>10</v>
      </c>
      <c r="B13" s="15">
        <f t="shared" si="13"/>
        <v>844.89702728148518</v>
      </c>
      <c r="C13" s="27">
        <f>(1-SUM(pHealthyStage1,pHealthyStage2,pHealthyStage3))*C12*(1-'Life Table - Male'!B57)</f>
        <v>409.2155857643175</v>
      </c>
      <c r="D13" s="19">
        <f t="shared" si="2"/>
        <v>0</v>
      </c>
      <c r="E13" s="20">
        <f t="shared" si="1"/>
        <v>405.9931029975034</v>
      </c>
      <c r="F13" s="27">
        <f>SUM(pHealthyStage1*C12,(1-SUM(pStage1Remission,pStage1Stage2))*F12,pStage2Stage1*I12,pRemissionStage1_trtB*O12)*(1-'Life Table - Male'!B57)</f>
        <v>117.48764191740355</v>
      </c>
      <c r="G13" s="19">
        <f t="shared" si="3"/>
        <v>186499.9241094515</v>
      </c>
      <c r="H13" s="20">
        <f t="shared" si="4"/>
        <v>102.57495826019831</v>
      </c>
      <c r="I13" s="27">
        <f>SUM(pHealthyStage2*C12,pStage1Stage2*F12,(1-SUM(pStage2Remission, pStage2Stage1, pStage2Stage3))*I12,pStage3Stage2*L12,pRemissionStage2_trtB*O12)*(1-'Life Table - Male'!B57)</f>
        <v>68.984565349491604</v>
      </c>
      <c r="J13" s="19">
        <f t="shared" si="5"/>
        <v>492777.55486418097</v>
      </c>
      <c r="K13" s="20">
        <f t="shared" si="6"/>
        <v>48.59334221577339</v>
      </c>
      <c r="L13" s="27">
        <f>SUM(pHealthyStage3*C12,pStage2Stage3*I12,(1-SUM(pStage3Death, pStage3Stage2))*L12)*(1-'Life Table - Male'!B57)</f>
        <v>29.572512102274182</v>
      </c>
      <c r="M13" s="19">
        <f t="shared" si="7"/>
        <v>680679.53365530388</v>
      </c>
      <c r="N13" s="20">
        <f t="shared" si="8"/>
        <v>10.56226862568575</v>
      </c>
      <c r="O13" s="27">
        <f>SUM(pStage1Remission*F12,pStage2Remission*I12,(1-SUM(pRemissionStage1_trtB, pRemissionStage2_trtB))*O12)*(1-'Life Table - Male'!B57)</f>
        <v>219.63672214799826</v>
      </c>
      <c r="P13" s="19">
        <f t="shared" si="9"/>
        <v>1656094.1975069745</v>
      </c>
      <c r="Q13" s="20">
        <f t="shared" si="10"/>
        <v>207.01177468837182</v>
      </c>
      <c r="R13" s="27">
        <f>SUM(pStage3Death*L12*(1-'Life Table - Male'!B57),R12)</f>
        <v>99.503172182982325</v>
      </c>
      <c r="S13" s="19">
        <f t="shared" si="11"/>
        <v>0</v>
      </c>
      <c r="T13" s="23">
        <f t="shared" si="12"/>
        <v>0</v>
      </c>
      <c r="U13" s="13">
        <f>SUM(B12*'Life Table - Male'!B57,U12)</f>
        <v>55.599800535532943</v>
      </c>
      <c r="V13" s="49">
        <f t="shared" si="14"/>
        <v>0</v>
      </c>
      <c r="W13" s="54">
        <v>1.3333333333333333</v>
      </c>
      <c r="X13" s="13">
        <f t="shared" si="15"/>
        <v>3016051.2101359107</v>
      </c>
      <c r="Y13" s="25">
        <f t="shared" si="15"/>
        <v>774.73544678753274</v>
      </c>
    </row>
    <row r="14" spans="1:25" x14ac:dyDescent="0.2">
      <c r="A14" s="10">
        <v>11</v>
      </c>
      <c r="B14" s="15">
        <f t="shared" si="13"/>
        <v>824.09908521361774</v>
      </c>
      <c r="C14" s="27">
        <f>(1-SUM(pHealthyStage1,pHealthyStage2,pHealthyStage3))*C13*(1-'Life Table - Male'!B58)</f>
        <v>373.08731433264489</v>
      </c>
      <c r="D14" s="19">
        <f t="shared" si="2"/>
        <v>0</v>
      </c>
      <c r="E14" s="20">
        <f t="shared" si="1"/>
        <v>179.68414260199535</v>
      </c>
      <c r="F14" s="27">
        <f>SUM(pHealthyStage1*C13,(1-SUM(pStage1Remission,pStage1Stage2))*F13,pStage2Stage1*I13,pRemissionStage1_trtB*O13)*(1-'Life Table - Male'!B58)</f>
        <v>116.78643007716697</v>
      </c>
      <c r="G14" s="19">
        <f t="shared" si="3"/>
        <v>89993.602032809649</v>
      </c>
      <c r="H14" s="20">
        <f t="shared" si="4"/>
        <v>49.496481118045303</v>
      </c>
      <c r="I14" s="27">
        <f>SUM(pHealthyStage2*C13,pStage1Stage2*F13,(1-SUM(pStage2Remission, pStage2Stage1, pStage2Stage3))*I13,pStage3Stage2*L13,pRemissionStage2_trtB*O13)*(1-'Life Table - Male'!B58)</f>
        <v>68.766517249625522</v>
      </c>
      <c r="J14" s="19">
        <f t="shared" si="5"/>
        <v>238456.2968578813</v>
      </c>
      <c r="K14" s="20">
        <f t="shared" si="6"/>
        <v>23.514440384596629</v>
      </c>
      <c r="L14" s="27">
        <f>SUM(pHealthyStage3*C13,pStage2Stage3*I13,(1-SUM(pStage3Death, pStage3Stage2))*L13)*(1-'Life Table - Male'!B58)</f>
        <v>28.962850723833171</v>
      </c>
      <c r="M14" s="19">
        <f t="shared" si="7"/>
        <v>323614.93771822797</v>
      </c>
      <c r="N14" s="20">
        <f t="shared" si="8"/>
        <v>5.0216111025242265</v>
      </c>
      <c r="O14" s="27">
        <f>SUM(pStage1Remission*F13,pStage2Remission*I13,(1-SUM(pRemissionStage1_trtB, pRemissionStage2_trtB))*O13)*(1-'Life Table - Male'!B58)</f>
        <v>236.49597283034711</v>
      </c>
      <c r="P14" s="19">
        <f t="shared" si="9"/>
        <v>865638.59451966546</v>
      </c>
      <c r="Q14" s="20">
        <f t="shared" si="10"/>
        <v>108.20482431495819</v>
      </c>
      <c r="R14" s="27">
        <f>SUM(pStage3Death*L13*(1-'Life Table - Male'!B58),R13)</f>
        <v>112.69093782629373</v>
      </c>
      <c r="S14" s="19">
        <f t="shared" si="11"/>
        <v>0</v>
      </c>
      <c r="T14" s="23">
        <f t="shared" si="12"/>
        <v>0</v>
      </c>
      <c r="U14" s="13">
        <f>SUM(B13*'Life Table - Male'!B58,U13)</f>
        <v>63.209976960088994</v>
      </c>
      <c r="V14" s="49">
        <f t="shared" si="14"/>
        <v>0</v>
      </c>
      <c r="W14" s="54">
        <v>0.66666666666666663</v>
      </c>
      <c r="X14" s="13">
        <f t="shared" si="15"/>
        <v>1517703.4311285843</v>
      </c>
      <c r="Y14" s="25">
        <f t="shared" si="15"/>
        <v>365.92149952211969</v>
      </c>
    </row>
    <row r="15" spans="1:25" x14ac:dyDescent="0.2">
      <c r="A15" s="10">
        <v>12</v>
      </c>
      <c r="B15" s="15">
        <f t="shared" si="13"/>
        <v>803.16405344802467</v>
      </c>
      <c r="C15" s="27">
        <f>(1-SUM(pHealthyStage1,pHealthyStage2,pHealthyStage3))*C14*(1-'Life Table - Male'!B59)</f>
        <v>339.89633551834248</v>
      </c>
      <c r="D15" s="19">
        <f t="shared" si="2"/>
        <v>0</v>
      </c>
      <c r="E15" s="20">
        <f t="shared" si="1"/>
        <v>317.86193477851424</v>
      </c>
      <c r="F15" s="27">
        <f>SUM(pHealthyStage1*C14,(1-SUM(pStage1Remission,pStage1Stage2))*F14,pStage2Stage1*I14,pRemissionStage1_trtB*O14)*(1-'Life Table - Male'!B59)</f>
        <v>115.7844298777086</v>
      </c>
      <c r="G15" s="19">
        <f t="shared" si="3"/>
        <v>173245.5883857898</v>
      </c>
      <c r="H15" s="20">
        <f t="shared" si="4"/>
        <v>95.285073612184391</v>
      </c>
      <c r="I15" s="27">
        <f>SUM(pHealthyStage2*C14,pStage1Stage2*F14,(1-SUM(pStage2Remission, pStage2Stage1, pStage2Stage3))*I14,pStage3Stage2*L14,pRemissionStage2_trtB*O14)*(1-'Life Table - Male'!B59)</f>
        <v>68.271646126437844</v>
      </c>
      <c r="J15" s="19">
        <f t="shared" si="5"/>
        <v>459689.84621508518</v>
      </c>
      <c r="K15" s="20">
        <f t="shared" si="6"/>
        <v>45.330526501765341</v>
      </c>
      <c r="L15" s="27">
        <f>SUM(pHealthyStage3*C14,pStage2Stage3*I14,(1-SUM(pStage3Death, pStage3Stage2))*L14)*(1-'Life Table - Male'!B59)</f>
        <v>28.249351203042821</v>
      </c>
      <c r="M15" s="19">
        <f t="shared" si="7"/>
        <v>612898.42166108009</v>
      </c>
      <c r="N15" s="20">
        <f t="shared" si="8"/>
        <v>9.5104927499133094</v>
      </c>
      <c r="O15" s="27">
        <f>SUM(pStage1Remission*F14,pStage2Remission*I14,(1-SUM(pRemissionStage1_trtB, pRemissionStage2_trtB))*O14)*(1-'Life Table - Male'!B59)</f>
        <v>250.96229072249298</v>
      </c>
      <c r="P15" s="19">
        <f t="shared" si="9"/>
        <v>1783668.3341856152</v>
      </c>
      <c r="Q15" s="20">
        <f t="shared" si="10"/>
        <v>222.95854177320186</v>
      </c>
      <c r="R15" s="27">
        <f>SUM(pStage3Death*L14*(1-'Life Table - Male'!B59),R14)</f>
        <v>125.59724485246211</v>
      </c>
      <c r="S15" s="19">
        <f t="shared" si="11"/>
        <v>0</v>
      </c>
      <c r="T15" s="23">
        <f t="shared" si="12"/>
        <v>0</v>
      </c>
      <c r="U15" s="13">
        <f>SUM(B14*'Life Table - Male'!B59,U14)</f>
        <v>71.238701699513555</v>
      </c>
      <c r="V15" s="49">
        <f t="shared" si="14"/>
        <v>0</v>
      </c>
      <c r="W15" s="54">
        <v>1.3333333333333333</v>
      </c>
      <c r="X15" s="13">
        <f t="shared" si="15"/>
        <v>3029502.1904475703</v>
      </c>
      <c r="Y15" s="25">
        <f t="shared" si="15"/>
        <v>690.94656941557912</v>
      </c>
    </row>
    <row r="16" spans="1:25" x14ac:dyDescent="0.2">
      <c r="A16" s="10">
        <v>13</v>
      </c>
      <c r="B16" s="15">
        <f t="shared" si="13"/>
        <v>782.11901208925156</v>
      </c>
      <c r="C16" s="27">
        <f>(1-SUM(pHealthyStage1,pHealthyStage2,pHealthyStage3))*C15*(1-'Life Table - Male'!B60)</f>
        <v>309.40814001221196</v>
      </c>
      <c r="D16" s="19">
        <f t="shared" si="2"/>
        <v>0</v>
      </c>
      <c r="E16" s="20">
        <f t="shared" si="1"/>
        <v>140.46125836407501</v>
      </c>
      <c r="F16" s="27">
        <f>SUM(pHealthyStage1*C15,(1-SUM(pStage1Remission,pStage1Stage2))*F15,pStage2Stage1*I15,pRemissionStage1_trtB*O15)*(1-'Life Table - Male'!B60)</f>
        <v>114.52509132368488</v>
      </c>
      <c r="G16" s="19">
        <f t="shared" si="3"/>
        <v>83185.082026351243</v>
      </c>
      <c r="H16" s="20">
        <f t="shared" si="4"/>
        <v>45.751795114493177</v>
      </c>
      <c r="I16" s="27">
        <f>SUM(pHealthyStage2*C15,pStage1Stage2*F15,(1-SUM(pStage2Remission, pStage2Stage1, pStage2Stage3))*I15,pStage3Stage2*L15,pRemissionStage2_trtB*O15)*(1-'Life Table - Male'!B60)</f>
        <v>67.560888088496398</v>
      </c>
      <c r="J16" s="19">
        <f t="shared" si="5"/>
        <v>220827.25091995561</v>
      </c>
      <c r="K16" s="20">
        <f t="shared" si="6"/>
        <v>21.776020576828952</v>
      </c>
      <c r="L16" s="27">
        <f>SUM(pHealthyStage3*C15,pStage2Stage3*I15,(1-SUM(pStage3Death, pStage3Stage2))*L15)*(1-'Life Table - Male'!B60)</f>
        <v>27.471697584781623</v>
      </c>
      <c r="M16" s="19">
        <f t="shared" si="7"/>
        <v>289333.22089871333</v>
      </c>
      <c r="N16" s="20">
        <f t="shared" si="8"/>
        <v>4.4896534277386548</v>
      </c>
      <c r="O16" s="27">
        <f>SUM(pStage1Remission*F15,pStage2Remission*I15,(1-SUM(pRemissionStage1_trtB, pRemissionStage2_trtB))*O15)*(1-'Life Table - Male'!B60)</f>
        <v>263.15319508007673</v>
      </c>
      <c r="P16" s="19">
        <f t="shared" si="9"/>
        <v>907918.90545387298</v>
      </c>
      <c r="Q16" s="20">
        <f t="shared" si="10"/>
        <v>113.48986318173411</v>
      </c>
      <c r="R16" s="27">
        <f>SUM(pStage3Death*L15*(1-'Life Table - Male'!B60),R15)</f>
        <v>138.17544256629475</v>
      </c>
      <c r="S16" s="19">
        <f t="shared" si="11"/>
        <v>0</v>
      </c>
      <c r="T16" s="23">
        <f t="shared" si="12"/>
        <v>0</v>
      </c>
      <c r="U16" s="13">
        <f>SUM(B15*'Life Table - Male'!B60,U15)</f>
        <v>79.705545344454066</v>
      </c>
      <c r="V16" s="49">
        <f t="shared" si="14"/>
        <v>0</v>
      </c>
      <c r="W16" s="54">
        <v>0.66666666666666663</v>
      </c>
      <c r="X16" s="13">
        <f t="shared" si="15"/>
        <v>1501264.4592988933</v>
      </c>
      <c r="Y16" s="25">
        <f t="shared" si="15"/>
        <v>325.96859066486991</v>
      </c>
    </row>
    <row r="17" spans="1:25" x14ac:dyDescent="0.2">
      <c r="A17" s="10">
        <v>14</v>
      </c>
      <c r="B17" s="15">
        <f t="shared" si="13"/>
        <v>760.95749011320436</v>
      </c>
      <c r="C17" s="27">
        <f>(1-SUM(pHealthyStage1,pHealthyStage2,pHealthyStage3))*C16*(1-'Life Table - Male'!B61)</f>
        <v>281.40152954292768</v>
      </c>
      <c r="D17" s="19">
        <f t="shared" si="2"/>
        <v>0</v>
      </c>
      <c r="E17" s="20">
        <f t="shared" si="1"/>
        <v>248.05274902056493</v>
      </c>
      <c r="F17" s="27">
        <f>SUM(pHealthyStage1*C16,(1-SUM(pStage1Remission,pStage1Stage2))*F16,pStage2Stage1*I16,pRemissionStage1_trtB*O16)*(1-'Life Table - Male'!B61)</f>
        <v>113.03494772726613</v>
      </c>
      <c r="G17" s="19">
        <f t="shared" si="3"/>
        <v>159422.75546084801</v>
      </c>
      <c r="H17" s="20">
        <f t="shared" si="4"/>
        <v>87.682515503466391</v>
      </c>
      <c r="I17" s="27">
        <f>SUM(pHealthyStage2*C16,pStage1Stage2*F16,(1-SUM(pStage2Remission, pStage2Stage1, pStage2Stage3))*I16,pStage3Stage2*L16,pRemissionStage2_trtB*O16)*(1-'Life Table - Male'!B61)</f>
        <v>66.674402536397452</v>
      </c>
      <c r="J17" s="19">
        <f t="shared" si="5"/>
        <v>423164.49320765241</v>
      </c>
      <c r="K17" s="20">
        <f t="shared" si="6"/>
        <v>41.728720857976832</v>
      </c>
      <c r="L17" s="27">
        <f>SUM(pHealthyStage3*C16,pStage2Stage3*I16,(1-SUM(pStage3Death, pStage3Stage2))*L16)*(1-'Life Table - Male'!B61)</f>
        <v>26.655831288441252</v>
      </c>
      <c r="M17" s="19">
        <f t="shared" si="7"/>
        <v>545127.14252467395</v>
      </c>
      <c r="N17" s="20">
        <f t="shared" si="8"/>
        <v>8.4588694529690773</v>
      </c>
      <c r="O17" s="27">
        <f>SUM(pStage1Remission*F16,pStage2Remission*I16,(1-SUM(pRemissionStage1_trtB, pRemissionStage2_trtB))*O16)*(1-'Life Table - Male'!B61)</f>
        <v>273.1907790181719</v>
      </c>
      <c r="P17" s="19">
        <f t="shared" si="9"/>
        <v>1830194.3890629804</v>
      </c>
      <c r="Q17" s="20">
        <f t="shared" si="10"/>
        <v>228.77429863287256</v>
      </c>
      <c r="R17" s="27">
        <f>SUM(pStage3Death*L16*(1-'Life Table - Male'!B61),R16)</f>
        <v>150.39639073174931</v>
      </c>
      <c r="S17" s="19">
        <f t="shared" si="11"/>
        <v>0</v>
      </c>
      <c r="T17" s="23">
        <f t="shared" si="12"/>
        <v>0</v>
      </c>
      <c r="U17" s="13">
        <f>SUM(B16*'Life Table - Male'!B61,U16)</f>
        <v>88.646119155046648</v>
      </c>
      <c r="V17" s="49">
        <f t="shared" si="14"/>
        <v>0</v>
      </c>
      <c r="W17" s="54">
        <v>1.3333333333333333</v>
      </c>
      <c r="X17" s="13">
        <f t="shared" si="15"/>
        <v>2957908.7802561549</v>
      </c>
      <c r="Y17" s="25">
        <f t="shared" si="15"/>
        <v>614.69715346784983</v>
      </c>
    </row>
    <row r="18" spans="1:25" x14ac:dyDescent="0.2">
      <c r="A18" s="10">
        <v>15</v>
      </c>
      <c r="B18" s="15">
        <f t="shared" si="13"/>
        <v>739.67550866043757</v>
      </c>
      <c r="C18" s="27">
        <f>(1-SUM(pHealthyStage1,pHealthyStage2,pHealthyStage3))*C17*(1-'Life Table - Male'!B62)</f>
        <v>255.67927392195537</v>
      </c>
      <c r="D18" s="19">
        <f t="shared" si="2"/>
        <v>0</v>
      </c>
      <c r="E18" s="20">
        <f t="shared" si="1"/>
        <v>109.40719777901673</v>
      </c>
      <c r="F18" s="27">
        <f>SUM(pHealthyStage1*C17,(1-SUM(pStage1Remission,pStage1Stage2))*F17,pStage2Stage1*I17,pRemissionStage1_trtB*O17)*(1-'Life Table - Male'!B62)</f>
        <v>111.33394247641336</v>
      </c>
      <c r="G18" s="19">
        <f t="shared" si="3"/>
        <v>76225.089204549149</v>
      </c>
      <c r="H18" s="20">
        <f t="shared" si="4"/>
        <v>41.923799062502027</v>
      </c>
      <c r="I18" s="27">
        <f>SUM(pHealthyStage2*C17,pStage1Stage2*F17,(1-SUM(pStage2Remission, pStage2Stage1, pStage2Stage3))*I17,pStage3Stage2*L17,pRemissionStage2_trtB*O17)*(1-'Life Table - Male'!B62)</f>
        <v>65.640544255676218</v>
      </c>
      <c r="J18" s="19">
        <f t="shared" si="5"/>
        <v>202234.40430781807</v>
      </c>
      <c r="K18" s="20">
        <f t="shared" si="6"/>
        <v>19.942559313687617</v>
      </c>
      <c r="L18" s="27">
        <f>SUM(pHealthyStage3*C17,pStage2Stage3*I17,(1-SUM(pStage3Death, pStage3Stage2))*L17)*(1-'Life Table - Male'!B62)</f>
        <v>25.818926620534331</v>
      </c>
      <c r="M18" s="19">
        <f t="shared" si="7"/>
        <v>256316.48484806638</v>
      </c>
      <c r="N18" s="20">
        <f t="shared" si="8"/>
        <v>3.9773247648837882</v>
      </c>
      <c r="O18" s="27">
        <f>SUM(pStage1Remission*F17,pStage2Remission*I17,(1-SUM(pRemissionStage1_trtB, pRemissionStage2_trtB))*O17)*(1-'Life Table - Male'!B62)</f>
        <v>281.20282138585833</v>
      </c>
      <c r="P18" s="19">
        <f t="shared" si="9"/>
        <v>914499.8454441037</v>
      </c>
      <c r="Q18" s="20">
        <f t="shared" si="10"/>
        <v>114.31248068051298</v>
      </c>
      <c r="R18" s="27">
        <f>SUM(pStage3Death*L17*(1-'Life Table - Male'!B62),R17)</f>
        <v>162.2427796927326</v>
      </c>
      <c r="S18" s="19">
        <f t="shared" si="11"/>
        <v>0</v>
      </c>
      <c r="T18" s="23">
        <f t="shared" si="12"/>
        <v>0</v>
      </c>
      <c r="U18" s="13">
        <f>SUM(B17*'Life Table - Male'!B62,U17)</f>
        <v>98.081711646830158</v>
      </c>
      <c r="V18" s="49">
        <f t="shared" si="14"/>
        <v>0</v>
      </c>
      <c r="W18" s="54">
        <v>0.66666666666666663</v>
      </c>
      <c r="X18" s="13">
        <f t="shared" si="15"/>
        <v>1449275.8238045373</v>
      </c>
      <c r="Y18" s="25">
        <f t="shared" si="15"/>
        <v>289.56336160060312</v>
      </c>
    </row>
    <row r="19" spans="1:25" x14ac:dyDescent="0.2">
      <c r="A19" s="10">
        <v>16</v>
      </c>
      <c r="B19" s="15">
        <f t="shared" si="13"/>
        <v>718.36649701365786</v>
      </c>
      <c r="C19" s="27">
        <f>(1-SUM(pHealthyStage1,pHealthyStage2,pHealthyStage3))*C18*(1-'Life Table - Male'!B63)</f>
        <v>232.09407003538257</v>
      </c>
      <c r="D19" s="19">
        <f t="shared" si="2"/>
        <v>0</v>
      </c>
      <c r="E19" s="20">
        <f t="shared" si="1"/>
        <v>192.84446831345093</v>
      </c>
      <c r="F19" s="27">
        <f>SUM(pHealthyStage1*C18,(1-SUM(pStage1Remission,pStage1Stage2))*F18,pStage2Stage1*I18,pRemissionStage1_trtB*O18)*(1-'Life Table - Male'!B63)</f>
        <v>109.45280197402658</v>
      </c>
      <c r="G19" s="19">
        <f t="shared" si="3"/>
        <v>145509.05086980146</v>
      </c>
      <c r="H19" s="20">
        <f t="shared" si="4"/>
        <v>80.029977978390804</v>
      </c>
      <c r="I19" s="27">
        <f>SUM(pHealthyStage2*C18,pStage1Stage2*F18,(1-SUM(pStage2Remission, pStage2Stage1, pStage2Stage3))*I18,pStage3Stage2*L18,pRemissionStage2_trtB*O18)*(1-'Life Table - Male'!B63)</f>
        <v>64.488412746373655</v>
      </c>
      <c r="J19" s="19">
        <f t="shared" si="5"/>
        <v>385795.64914868237</v>
      </c>
      <c r="K19" s="20">
        <f t="shared" si="6"/>
        <v>38.043737624383951</v>
      </c>
      <c r="L19" s="27">
        <f>SUM(pHealthyStage3*C18,pStage2Stage3*I18,(1-SUM(pStage3Death, pStage3Stage2))*L18)*(1-'Life Table - Male'!B63)</f>
        <v>24.975428522498582</v>
      </c>
      <c r="M19" s="19">
        <f t="shared" si="7"/>
        <v>481442.11103382328</v>
      </c>
      <c r="N19" s="20">
        <f t="shared" si="8"/>
        <v>7.4706534470765682</v>
      </c>
      <c r="O19" s="27">
        <f>SUM(pStage1Remission*F18,pStage2Remission*I18,(1-SUM(pRemissionStage1_trtB, pRemissionStage2_trtB))*O18)*(1-'Life Table - Male'!B63)</f>
        <v>287.35578373537646</v>
      </c>
      <c r="P19" s="19">
        <f t="shared" si="9"/>
        <v>1814582.325404726</v>
      </c>
      <c r="Q19" s="20">
        <f t="shared" si="10"/>
        <v>226.82279067559077</v>
      </c>
      <c r="R19" s="27">
        <f>SUM(pStage3Death*L18*(1-'Life Table - Male'!B63),R18)</f>
        <v>173.70665331558956</v>
      </c>
      <c r="S19" s="19">
        <f t="shared" si="11"/>
        <v>0</v>
      </c>
      <c r="T19" s="23">
        <f t="shared" si="12"/>
        <v>0</v>
      </c>
      <c r="U19" s="13">
        <f>SUM(B18*'Life Table - Male'!B63,U18)</f>
        <v>107.92684967075293</v>
      </c>
      <c r="V19" s="49">
        <f t="shared" si="14"/>
        <v>0</v>
      </c>
      <c r="W19" s="54">
        <v>1.3333333333333333</v>
      </c>
      <c r="X19" s="13">
        <f t="shared" si="15"/>
        <v>2827329.136457033</v>
      </c>
      <c r="Y19" s="25">
        <f t="shared" si="15"/>
        <v>545.21162803889308</v>
      </c>
    </row>
    <row r="20" spans="1:25" x14ac:dyDescent="0.2">
      <c r="A20" s="10">
        <v>17</v>
      </c>
      <c r="B20" s="15">
        <f t="shared" si="13"/>
        <v>696.97577276538686</v>
      </c>
      <c r="C20" s="27">
        <f>(1-SUM(pHealthyStage1,pHealthyStage2,pHealthyStage3))*C19*(1-'Life Table - Male'!B64)</f>
        <v>210.46107938006654</v>
      </c>
      <c r="D20" s="19">
        <f t="shared" si="2"/>
        <v>0</v>
      </c>
      <c r="E20" s="20">
        <f t="shared" si="1"/>
        <v>84.888276156788066</v>
      </c>
      <c r="F20" s="27">
        <f>SUM(pHealthyStage1*C19,(1-SUM(pStage1Remission,pStage1Stage2))*F19,pStage2Stage1*I19,pRemissionStage1_trtB*O19)*(1-'Life Table - Male'!B64)</f>
        <v>107.39761117479455</v>
      </c>
      <c r="G20" s="19">
        <f t="shared" si="3"/>
        <v>69309.142405539067</v>
      </c>
      <c r="H20" s="20">
        <f t="shared" si="4"/>
        <v>38.12002832304649</v>
      </c>
      <c r="I20" s="27">
        <f>SUM(pHealthyStage2*C19,pStage1Stage2*F19,(1-SUM(pStage2Remission, pStage2Stage1, pStage2Stage3))*I19,pStage3Stage2*L19,pRemissionStage2_trtB*O19)*(1-'Life Table - Male'!B64)</f>
        <v>63.228698320984165</v>
      </c>
      <c r="J20" s="19">
        <f t="shared" si="5"/>
        <v>183621.13120105484</v>
      </c>
      <c r="K20" s="20">
        <f t="shared" si="6"/>
        <v>18.107083771215127</v>
      </c>
      <c r="L20" s="27">
        <f>SUM(pHealthyStage3*C19,pStage2Stage3*I19,(1-SUM(pStage3Death, pStage3Stage2))*L19)*(1-'Life Table - Male'!B64)</f>
        <v>24.130445534044018</v>
      </c>
      <c r="M20" s="19">
        <f t="shared" si="7"/>
        <v>225802.76022191264</v>
      </c>
      <c r="N20" s="20">
        <f t="shared" si="8"/>
        <v>3.5038359344779546</v>
      </c>
      <c r="O20" s="27">
        <f>SUM(pStage1Remission*F19,pStage2Remission*I19,(1-SUM(pRemissionStage1_trtB, pRemissionStage2_trtB))*O19)*(1-'Life Table - Male'!B64)</f>
        <v>291.75793835549763</v>
      </c>
      <c r="P20" s="19">
        <f t="shared" si="9"/>
        <v>894359.64461492782</v>
      </c>
      <c r="Q20" s="20">
        <f t="shared" si="10"/>
        <v>111.79495557686597</v>
      </c>
      <c r="R20" s="27">
        <f>SUM(pStage3Death*L19*(1-'Life Table - Male'!B64),R19)</f>
        <v>184.78424578287317</v>
      </c>
      <c r="S20" s="19">
        <f t="shared" si="11"/>
        <v>0</v>
      </c>
      <c r="T20" s="23">
        <f t="shared" si="12"/>
        <v>0</v>
      </c>
      <c r="U20" s="13">
        <f>SUM(B19*'Life Table - Male'!B64,U19)</f>
        <v>118.23998145174036</v>
      </c>
      <c r="V20" s="49">
        <f t="shared" si="14"/>
        <v>0</v>
      </c>
      <c r="W20" s="54">
        <v>0.66666666666666663</v>
      </c>
      <c r="X20" s="13">
        <f t="shared" si="15"/>
        <v>1373092.6784434344</v>
      </c>
      <c r="Y20" s="25">
        <f t="shared" si="15"/>
        <v>256.41417976239359</v>
      </c>
    </row>
    <row r="21" spans="1:25" x14ac:dyDescent="0.2">
      <c r="A21" s="10">
        <v>18</v>
      </c>
      <c r="B21" s="15">
        <f t="shared" si="13"/>
        <v>675.55845041810358</v>
      </c>
      <c r="C21" s="27">
        <f>(1-SUM(pHealthyStage1,pHealthyStage2,pHealthyStage3))*C20*(1-'Life Table - Male'!B65)</f>
        <v>190.64451985263193</v>
      </c>
      <c r="D21" s="19">
        <f t="shared" si="2"/>
        <v>0</v>
      </c>
      <c r="E21" s="20">
        <f t="shared" si="1"/>
        <v>149.31141724404179</v>
      </c>
      <c r="F21" s="27">
        <f>SUM(pHealthyStage1*C20,(1-SUM(pStage1Remission,pStage1Stage2))*F20,pStage2Stage1*I20,pRemissionStage1_trtB*O20)*(1-'Life Table - Male'!B65)</f>
        <v>105.18951464762264</v>
      </c>
      <c r="G21" s="19">
        <f t="shared" si="3"/>
        <v>131813.87452114673</v>
      </c>
      <c r="H21" s="20">
        <f t="shared" si="4"/>
        <v>72.497630986630696</v>
      </c>
      <c r="I21" s="27">
        <f>SUM(pHealthyStage2*C20,pStage1Stage2*F20,(1-SUM(pStage2Remission, pStage2Stage1, pStage2Stage3))*I20,pStage3Stage2*L20,pRemissionStage2_trtB*O20)*(1-'Life Table - Male'!B65)</f>
        <v>61.878336401429571</v>
      </c>
      <c r="J21" s="19">
        <f t="shared" si="5"/>
        <v>348931.21085247421</v>
      </c>
      <c r="K21" s="20">
        <f t="shared" si="6"/>
        <v>34.408494403507873</v>
      </c>
      <c r="L21" s="27">
        <f>SUM(pHealthyStage3*C20,pStage2Stage3*I20,(1-SUM(pStage3Death, pStage3Stage2))*L20)*(1-'Life Table - Male'!B65)</f>
        <v>23.290125938707334</v>
      </c>
      <c r="M21" s="19">
        <f t="shared" si="7"/>
        <v>423183.29304098478</v>
      </c>
      <c r="N21" s="20">
        <f t="shared" si="8"/>
        <v>6.5666373058083849</v>
      </c>
      <c r="O21" s="27">
        <f>SUM(pStage1Remission*F20,pStage2Remission*I20,(1-SUM(pRemissionStage1_trtB, pRemissionStage2_trtB))*O20)*(1-'Life Table - Male'!B65)</f>
        <v>294.5559535777121</v>
      </c>
      <c r="P21" s="19">
        <f t="shared" si="9"/>
        <v>1753275.1982312445</v>
      </c>
      <c r="Q21" s="20">
        <f t="shared" si="10"/>
        <v>219.15939977890557</v>
      </c>
      <c r="R21" s="27">
        <f>SUM(pStage3Death*L20*(1-'Life Table - Male'!B65),R20)</f>
        <v>195.47584226577462</v>
      </c>
      <c r="S21" s="19">
        <f t="shared" si="11"/>
        <v>0</v>
      </c>
      <c r="T21" s="23">
        <f t="shared" si="12"/>
        <v>0</v>
      </c>
      <c r="U21" s="13">
        <f>SUM(B20*'Life Table - Male'!B65,U20)</f>
        <v>128.96570731612221</v>
      </c>
      <c r="V21" s="49">
        <f t="shared" si="14"/>
        <v>0</v>
      </c>
      <c r="W21" s="54">
        <v>1.3333333333333333</v>
      </c>
      <c r="X21" s="13">
        <f t="shared" si="15"/>
        <v>2657203.5766458502</v>
      </c>
      <c r="Y21" s="25">
        <f t="shared" si="15"/>
        <v>481.94357971889428</v>
      </c>
    </row>
    <row r="22" spans="1:25" x14ac:dyDescent="0.2">
      <c r="A22" s="10">
        <v>19</v>
      </c>
      <c r="B22" s="15">
        <f t="shared" si="13"/>
        <v>654.17386851727451</v>
      </c>
      <c r="C22" s="27">
        <f>(1-SUM(pHealthyStage1,pHealthyStage2,pHealthyStage3))*C21*(1-'Life Table - Male'!B66)</f>
        <v>172.51737141995449</v>
      </c>
      <c r="D22" s="19">
        <f t="shared" si="2"/>
        <v>0</v>
      </c>
      <c r="E22" s="20">
        <f t="shared" si="1"/>
        <v>65.589497535415319</v>
      </c>
      <c r="F22" s="27">
        <f>SUM(pHealthyStage1*C21,(1-SUM(pStage1Remission,pStage1Stage2))*F21,pStage2Stage1*I21,pRemissionStage1_trtB*O21)*(1-'Life Table - Male'!B66)</f>
        <v>102.84946855721265</v>
      </c>
      <c r="G22" s="19">
        <f t="shared" si="3"/>
        <v>62563.855768758185</v>
      </c>
      <c r="H22" s="20">
        <f t="shared" si="4"/>
        <v>34.410120672817008</v>
      </c>
      <c r="I22" s="27">
        <f>SUM(pHealthyStage2*C21,pStage1Stage2*F21,(1-SUM(pStage2Remission, pStage2Stage1, pStage2Stage3))*I21,pStage3Stage2*L21,pRemissionStage2_trtB*O21)*(1-'Life Table - Male'!B66)</f>
        <v>60.452384677151549</v>
      </c>
      <c r="J22" s="19">
        <f t="shared" si="5"/>
        <v>165480.72129042647</v>
      </c>
      <c r="K22" s="20">
        <f t="shared" si="6"/>
        <v>16.318237793917056</v>
      </c>
      <c r="L22" s="27">
        <f>SUM(pHealthyStage3*C21,pStage2Stage3*I21,(1-SUM(pStage3Death, pStage3Stage2))*L21)*(1-'Life Table - Male'!B66)</f>
        <v>22.458904841163751</v>
      </c>
      <c r="M22" s="19">
        <f t="shared" si="7"/>
        <v>198097.06061014245</v>
      </c>
      <c r="N22" s="20">
        <f t="shared" si="8"/>
        <v>3.0739199060194515</v>
      </c>
      <c r="O22" s="27">
        <f>SUM(pStage1Remission*F21,pStage2Remission*I21,(1-SUM(pRemissionStage1_trtB, pRemissionStage2_trtB))*O21)*(1-'Life Table - Male'!B66)</f>
        <v>295.89573902179211</v>
      </c>
      <c r="P22" s="19">
        <f t="shared" si="9"/>
        <v>854975.70714373491</v>
      </c>
      <c r="Q22" s="20">
        <f t="shared" si="10"/>
        <v>106.87196339296685</v>
      </c>
      <c r="R22" s="27">
        <f>SUM(pStage3Death*L21*(1-'Life Table - Male'!B66),R21)</f>
        <v>205.78456905865772</v>
      </c>
      <c r="S22" s="19">
        <f t="shared" si="11"/>
        <v>0</v>
      </c>
      <c r="T22" s="23">
        <f t="shared" si="12"/>
        <v>0</v>
      </c>
      <c r="U22" s="13">
        <f>SUM(B21*'Life Table - Male'!B66,U21)</f>
        <v>140.04156242406819</v>
      </c>
      <c r="V22" s="49">
        <f t="shared" si="14"/>
        <v>0</v>
      </c>
      <c r="W22" s="54">
        <v>0.66666666666666663</v>
      </c>
      <c r="X22" s="13">
        <f t="shared" si="15"/>
        <v>1281117.3448130619</v>
      </c>
      <c r="Y22" s="25">
        <f t="shared" si="15"/>
        <v>226.2637393011357</v>
      </c>
    </row>
    <row r="23" spans="1:25" x14ac:dyDescent="0.2">
      <c r="A23" s="10">
        <v>20</v>
      </c>
      <c r="B23" s="15">
        <f t="shared" si="13"/>
        <v>632.85094641686464</v>
      </c>
      <c r="C23" s="27">
        <f>(1-SUM(pHealthyStage1,pHealthyStage2,pHealthyStage3))*C22*(1-'Life Table - Male'!B67)</f>
        <v>155.95194736396783</v>
      </c>
      <c r="D23" s="19">
        <f t="shared" si="2"/>
        <v>0</v>
      </c>
      <c r="E23" s="20">
        <f t="shared" si="1"/>
        <v>115.12908276476334</v>
      </c>
      <c r="F23" s="27">
        <f>SUM(pHealthyStage1*C22,(1-SUM(pStage1Remission,pStage1Stage2))*F22,pStage2Stage1*I22,pRemissionStage1_trtB*O22)*(1-'Life Table - Male'!B67)</f>
        <v>100.39297374170125</v>
      </c>
      <c r="G23" s="19">
        <f t="shared" si="3"/>
        <v>118581.66496308344</v>
      </c>
      <c r="H23" s="20">
        <f t="shared" si="4"/>
        <v>65.219915729695884</v>
      </c>
      <c r="I23" s="27">
        <f>SUM(pHealthyStage2*C22,pStage1Stage2*F22,(1-SUM(pStage2Remission, pStage2Stage1, pStage2Stage3))*I22,pStage3Stage2*L22,pRemissionStage2_trtB*O22)*(1-'Life Table - Male'!B67)</f>
        <v>58.961530258839012</v>
      </c>
      <c r="J23" s="19">
        <f t="shared" si="5"/>
        <v>313397.46944681375</v>
      </c>
      <c r="K23" s="20">
        <f t="shared" si="6"/>
        <v>30.904472681560797</v>
      </c>
      <c r="L23" s="27">
        <f>SUM(pHealthyStage3*C22,pStage2Stage3*I22,(1-SUM(pStage3Death, pStage3Stage2))*L22)*(1-'Life Table - Male'!B67)</f>
        <v>21.638962901826996</v>
      </c>
      <c r="M23" s="19">
        <f t="shared" si="7"/>
        <v>370611.31096522283</v>
      </c>
      <c r="N23" s="20">
        <f t="shared" si="8"/>
        <v>5.750865170150008</v>
      </c>
      <c r="O23" s="27">
        <f>SUM(pStage1Remission*F22,pStage2Remission*I22,(1-SUM(pRemissionStage1_trtB, pRemissionStage2_trtB))*O22)*(1-'Life Table - Male'!B67)</f>
        <v>295.90553215052967</v>
      </c>
      <c r="P23" s="19">
        <f t="shared" si="9"/>
        <v>1660201.94930438</v>
      </c>
      <c r="Q23" s="20">
        <f t="shared" si="10"/>
        <v>207.52524366304749</v>
      </c>
      <c r="R23" s="27">
        <f>SUM(pStage3Death*L22*(1-'Life Table - Male'!B67),R22)</f>
        <v>215.71507169987694</v>
      </c>
      <c r="S23" s="19">
        <f t="shared" si="11"/>
        <v>0</v>
      </c>
      <c r="T23" s="23">
        <f t="shared" si="12"/>
        <v>0</v>
      </c>
      <c r="U23" s="13">
        <f>SUM(B22*'Life Table - Male'!B67,U22)</f>
        <v>151.43398188325875</v>
      </c>
      <c r="V23" s="49">
        <f t="shared" si="14"/>
        <v>0</v>
      </c>
      <c r="W23" s="54">
        <v>1.3333333333333333</v>
      </c>
      <c r="X23" s="13">
        <f t="shared" si="15"/>
        <v>2462792.3946794998</v>
      </c>
      <c r="Y23" s="25">
        <f t="shared" si="15"/>
        <v>424.52958000921751</v>
      </c>
    </row>
    <row r="24" spans="1:25" x14ac:dyDescent="0.2">
      <c r="A24" s="10">
        <v>21</v>
      </c>
      <c r="B24" s="15">
        <f t="shared" si="13"/>
        <v>611.66846628414532</v>
      </c>
      <c r="C24" s="27">
        <f>(1-SUM(pHealthyStage1,pHealthyStage2,pHealthyStage3))*C23*(1-'Life Table - Male'!B68)</f>
        <v>140.84052041719275</v>
      </c>
      <c r="D24" s="19">
        <f t="shared" si="2"/>
        <v>0</v>
      </c>
      <c r="E24" s="20">
        <f t="shared" si="1"/>
        <v>50.47247984594506</v>
      </c>
      <c r="F24" s="27">
        <f>SUM(pHealthyStage1*C23,(1-SUM(pStage1Remission,pStage1Stage2))*F23,pStage2Stage1*I23,pRemissionStage1_trtB*O23)*(1-'Life Table - Male'!B68)</f>
        <v>97.842809669596605</v>
      </c>
      <c r="G24" s="19">
        <f t="shared" si="3"/>
        <v>56101.686923519934</v>
      </c>
      <c r="H24" s="20">
        <f t="shared" si="4"/>
        <v>30.855927807935959</v>
      </c>
      <c r="I24" s="27">
        <f>SUM(pHealthyStage2*C23,pStage1Stage2*F23,(1-SUM(pStage2Remission, pStage2Stage1, pStage2Stage3))*I23,pStage3Stage2*L23,pRemissionStage2_trtB*O23)*(1-'Life Table - Male'!B68)</f>
        <v>57.41998160630564</v>
      </c>
      <c r="J24" s="19">
        <f t="shared" si="5"/>
        <v>148157.13376887035</v>
      </c>
      <c r="K24" s="20">
        <f t="shared" si="6"/>
        <v>14.609939579985824</v>
      </c>
      <c r="L24" s="27">
        <f>SUM(pHealthyStage3*C23,pStage2Stage3*I23,(1-SUM(pStage3Death, pStage3Stage2))*L23)*(1-'Life Table - Male'!B68)</f>
        <v>20.833415801974731</v>
      </c>
      <c r="M24" s="19">
        <f t="shared" si="7"/>
        <v>173211.00788952241</v>
      </c>
      <c r="N24" s="20">
        <f t="shared" si="8"/>
        <v>2.6877570189753479</v>
      </c>
      <c r="O24" s="27">
        <f>SUM(pStage1Remission*F23,pStage2Remission*I23,(1-SUM(pRemissionStage1_trtB, pRemissionStage2_trtB))*O23)*(1-'Life Table - Male'!B68)</f>
        <v>294.73173878907568</v>
      </c>
      <c r="P24" s="19">
        <f t="shared" si="9"/>
        <v>802726.35271899961</v>
      </c>
      <c r="Q24" s="20">
        <f t="shared" si="10"/>
        <v>100.34079408987495</v>
      </c>
      <c r="R24" s="27">
        <f>SUM(pStage3Death*L23*(1-'Life Table - Male'!B68),R23)</f>
        <v>225.27375225022098</v>
      </c>
      <c r="S24" s="19">
        <f t="shared" si="11"/>
        <v>0</v>
      </c>
      <c r="T24" s="23">
        <f t="shared" si="12"/>
        <v>0</v>
      </c>
      <c r="U24" s="13">
        <f>SUM(B23*'Life Table - Male'!B68,U23)</f>
        <v>163.05778146563406</v>
      </c>
      <c r="V24" s="49">
        <f t="shared" si="14"/>
        <v>0</v>
      </c>
      <c r="W24" s="54">
        <v>0.66666666666666663</v>
      </c>
      <c r="X24" s="13">
        <f t="shared" si="15"/>
        <v>1180196.1813009123</v>
      </c>
      <c r="Y24" s="25">
        <f t="shared" si="15"/>
        <v>198.96689834271712</v>
      </c>
    </row>
    <row r="25" spans="1:25" x14ac:dyDescent="0.2">
      <c r="A25" s="10">
        <v>22</v>
      </c>
      <c r="B25" s="15">
        <f t="shared" si="13"/>
        <v>590.45224215010239</v>
      </c>
      <c r="C25" s="27">
        <f>(1-SUM(pHealthyStage1,pHealthyStage2,pHealthyStage3))*C24*(1-'Life Table - Male'!B69)</f>
        <v>127.02584699564626</v>
      </c>
      <c r="D25" s="19">
        <f t="shared" si="2"/>
        <v>0</v>
      </c>
      <c r="E25" s="20">
        <f t="shared" si="1"/>
        <v>88.391782620381989</v>
      </c>
      <c r="F25" s="27">
        <f>SUM(pHealthyStage1*C24,(1-SUM(pStage1Remission,pStage1Stage2))*F24,pStage2Stage1*I24,pRemissionStage1_trtB*O24)*(1-'Life Table - Male'!B69)</f>
        <v>95.18059724182099</v>
      </c>
      <c r="G25" s="19">
        <f t="shared" si="3"/>
        <v>105971.28518406843</v>
      </c>
      <c r="H25" s="20">
        <f t="shared" si="4"/>
        <v>58.284206851237634</v>
      </c>
      <c r="I25" s="27">
        <f>SUM(pHealthyStage2*C24,pStage1Stage2*F24,(1-SUM(pStage2Remission, pStage2Stage1, pStage2Stage3))*I24,pStage3Stage2*L24,pRemissionStage2_trtB*O24)*(1-'Life Table - Male'!B69)</f>
        <v>55.817318422433488</v>
      </c>
      <c r="J25" s="19">
        <f t="shared" si="5"/>
        <v>279654.14307881682</v>
      </c>
      <c r="K25" s="20">
        <f t="shared" si="6"/>
        <v>27.577005775827775</v>
      </c>
      <c r="L25" s="27">
        <f>SUM(pHealthyStage3*C24,pStage2Stage3*I24,(1-SUM(pStage3Death, pStage3Stage2))*L24)*(1-'Life Table - Male'!B69)</f>
        <v>20.036293764210335</v>
      </c>
      <c r="M25" s="19">
        <f t="shared" si="7"/>
        <v>323463.41586094367</v>
      </c>
      <c r="N25" s="20">
        <f t="shared" si="8"/>
        <v>5.0192599012905044</v>
      </c>
      <c r="O25" s="27">
        <f>SUM(pStage1Remission*F24,pStage2Remission*I24,(1-SUM(pRemissionStage1_trtB, pRemissionStage2_trtB))*O24)*(1-'Life Table - Male'!B69)</f>
        <v>292.39218572599128</v>
      </c>
      <c r="P25" s="19">
        <f t="shared" si="9"/>
        <v>1546319.1956769051</v>
      </c>
      <c r="Q25" s="20">
        <f t="shared" si="10"/>
        <v>193.28989945961314</v>
      </c>
      <c r="R25" s="27">
        <f>SUM(pStage3Death*L24*(1-'Life Table - Male'!B69),R24)</f>
        <v>234.46447460288383</v>
      </c>
      <c r="S25" s="19">
        <f t="shared" si="11"/>
        <v>0</v>
      </c>
      <c r="T25" s="23">
        <f t="shared" si="12"/>
        <v>0</v>
      </c>
      <c r="U25" s="13">
        <f>SUM(B24*'Life Table - Male'!B69,U24)</f>
        <v>175.08328324701432</v>
      </c>
      <c r="V25" s="49">
        <f t="shared" si="14"/>
        <v>0</v>
      </c>
      <c r="W25" s="54">
        <v>1.3333333333333333</v>
      </c>
      <c r="X25" s="13">
        <f t="shared" si="15"/>
        <v>2255408.0398007343</v>
      </c>
      <c r="Y25" s="25">
        <f t="shared" si="15"/>
        <v>372.56215460835108</v>
      </c>
    </row>
    <row r="26" spans="1:25" x14ac:dyDescent="0.2">
      <c r="A26" s="10">
        <v>23</v>
      </c>
      <c r="B26" s="15">
        <f t="shared" si="13"/>
        <v>569.22768779909677</v>
      </c>
      <c r="C26" s="27">
        <f>(1-SUM(pHealthyStage1,pHealthyStage2,pHealthyStage3))*C25*(1-'Life Table - Male'!B70)</f>
        <v>114.41002817830697</v>
      </c>
      <c r="D26" s="19">
        <f t="shared" si="2"/>
        <v>0</v>
      </c>
      <c r="E26" s="20">
        <f t="shared" si="1"/>
        <v>38.647078143704661</v>
      </c>
      <c r="F26" s="27">
        <f>SUM(pHealthyStage1*C25,(1-SUM(pStage1Remission,pStage1Stage2))*F25,pStage2Stage1*I25,pRemissionStage1_trtB*O25)*(1-'Life Table - Male'!B70)</f>
        <v>92.418815656463252</v>
      </c>
      <c r="G26" s="19">
        <f t="shared" si="3"/>
        <v>49949.70804562667</v>
      </c>
      <c r="H26" s="20">
        <f t="shared" si="4"/>
        <v>27.472339425094667</v>
      </c>
      <c r="I26" s="27">
        <f>SUM(pHealthyStage2*C25,pStage1Stage2*F25,(1-SUM(pStage2Remission, pStage2Stage1, pStage2Stage3))*I25,pStage3Stage2*L25,pRemissionStage2_trtB*O25)*(1-'Life Table - Male'!B70)</f>
        <v>54.16095829166207</v>
      </c>
      <c r="J26" s="19">
        <f t="shared" si="5"/>
        <v>131725.9711364641</v>
      </c>
      <c r="K26" s="20">
        <f t="shared" si="6"/>
        <v>12.989644375956875</v>
      </c>
      <c r="L26" s="27">
        <f>SUM(pHealthyStage3*C25,pStage2Stage3*I25,(1-SUM(pStage3Death, pStage3Stage2))*L25)*(1-'Life Table - Male'!B70)</f>
        <v>19.248187378120612</v>
      </c>
      <c r="M26" s="19">
        <f t="shared" si="7"/>
        <v>150844.81801863844</v>
      </c>
      <c r="N26" s="20">
        <f t="shared" si="8"/>
        <v>2.3406954520133549</v>
      </c>
      <c r="O26" s="27">
        <f>SUM(pStage1Remission*F25,pStage2Remission*I25,(1-SUM(pRemissionStage1_trtB, pRemissionStage2_trtB))*O25)*(1-'Life Table - Male'!B70)</f>
        <v>288.98969829454381</v>
      </c>
      <c r="P26" s="19">
        <f t="shared" si="9"/>
        <v>741905.39056896395</v>
      </c>
      <c r="Q26" s="20">
        <f t="shared" si="10"/>
        <v>92.738173821120483</v>
      </c>
      <c r="R26" s="27">
        <f>SUM(pStage3Death*L25*(1-'Life Table - Male'!B70),R25)</f>
        <v>243.29149377950429</v>
      </c>
      <c r="S26" s="19">
        <f t="shared" si="11"/>
        <v>0</v>
      </c>
      <c r="T26" s="23">
        <f t="shared" si="12"/>
        <v>0</v>
      </c>
      <c r="U26" s="13">
        <f>SUM(B25*'Life Table - Male'!B70,U25)</f>
        <v>187.48081842139948</v>
      </c>
      <c r="V26" s="49">
        <f t="shared" si="14"/>
        <v>0</v>
      </c>
      <c r="W26" s="54">
        <v>0.66666666666666663</v>
      </c>
      <c r="X26" s="13">
        <f t="shared" si="15"/>
        <v>1074425.887769693</v>
      </c>
      <c r="Y26" s="25">
        <f t="shared" si="15"/>
        <v>174.18793121789002</v>
      </c>
    </row>
    <row r="27" spans="1:25" x14ac:dyDescent="0.2">
      <c r="A27" s="10">
        <v>24</v>
      </c>
      <c r="B27" s="15">
        <f t="shared" si="13"/>
        <v>547.97653766119493</v>
      </c>
      <c r="C27" s="27">
        <f>(1-SUM(pHealthyStage1,pHealthyStage2,pHealthyStage3))*C26*(1-'Life Table - Male'!B71)</f>
        <v>102.89330759931752</v>
      </c>
      <c r="D27" s="19">
        <f t="shared" si="2"/>
        <v>0</v>
      </c>
      <c r="E27" s="20">
        <f t="shared" si="1"/>
        <v>67.488919002216932</v>
      </c>
      <c r="F27" s="27">
        <f>SUM(pHealthyStage1*C26,(1-SUM(pStage1Remission,pStage1Stage2))*F26,pStage2Stage1*I26,pRemissionStage1_trtB*O26)*(1-'Life Table - Male'!B71)</f>
        <v>89.56230953951183</v>
      </c>
      <c r="G27" s="19">
        <f t="shared" si="3"/>
        <v>93991.939342864513</v>
      </c>
      <c r="H27" s="20">
        <f t="shared" si="4"/>
        <v>51.695566638575485</v>
      </c>
      <c r="I27" s="27">
        <f>SUM(pHealthyStage2*C26,pStage1Stage2*F26,(1-SUM(pStage2Remission, pStage2Stage1, pStage2Stage3))*I26,pStage3Stage2*L26,pRemissionStage2_trtB*O26)*(1-'Life Table - Male'!B71)</f>
        <v>52.453662770842243</v>
      </c>
      <c r="J27" s="19">
        <f t="shared" si="5"/>
        <v>247715.77259090927</v>
      </c>
      <c r="K27" s="20">
        <f t="shared" si="6"/>
        <v>24.427527574936885</v>
      </c>
      <c r="L27" s="27">
        <f>SUM(pHealthyStage3*C26,pStage2Stage3*I26,(1-SUM(pStage3Death, pStage3Stage2))*L26)*(1-'Life Table - Male'!B71)</f>
        <v>18.46804434253816</v>
      </c>
      <c r="M27" s="19">
        <f t="shared" si="7"/>
        <v>281031.00547514408</v>
      </c>
      <c r="N27" s="20">
        <f t="shared" si="8"/>
        <v>4.360825947028097</v>
      </c>
      <c r="O27" s="27">
        <f>SUM(pStage1Remission*F26,pStage2Remission*I26,(1-SUM(pRemissionStage1_trtB, pRemissionStage2_trtB))*O26)*(1-'Life Table - Male'!B71)</f>
        <v>284.59921340898512</v>
      </c>
      <c r="P27" s="19">
        <f t="shared" si="9"/>
        <v>1418706.7380372169</v>
      </c>
      <c r="Q27" s="20">
        <f t="shared" si="10"/>
        <v>177.33834225465213</v>
      </c>
      <c r="R27" s="27">
        <f>SUM(pStage3Death*L26*(1-'Life Table - Male'!B71),R26)</f>
        <v>251.75864975153195</v>
      </c>
      <c r="S27" s="19">
        <f t="shared" si="11"/>
        <v>0</v>
      </c>
      <c r="T27" s="23">
        <f t="shared" si="12"/>
        <v>0</v>
      </c>
      <c r="U27" s="13">
        <f>SUM(B26*'Life Table - Male'!B71,U26)</f>
        <v>200.26481258727367</v>
      </c>
      <c r="V27" s="49">
        <f t="shared" si="14"/>
        <v>0</v>
      </c>
      <c r="W27" s="54">
        <v>1.3333333333333333</v>
      </c>
      <c r="X27" s="13">
        <f t="shared" si="15"/>
        <v>2041445.4554461348</v>
      </c>
      <c r="Y27" s="25">
        <f t="shared" si="15"/>
        <v>325.31118141740956</v>
      </c>
    </row>
    <row r="28" spans="1:25" x14ac:dyDescent="0.2">
      <c r="A28" s="10">
        <v>25</v>
      </c>
      <c r="B28" s="15">
        <f t="shared" si="13"/>
        <v>526.71868079076103</v>
      </c>
      <c r="C28" s="27">
        <f>(1-SUM(pHealthyStage1,pHealthyStage2,pHealthyStage3))*C27*(1-'Life Table - Male'!B72)</f>
        <v>92.390791090689746</v>
      </c>
      <c r="D28" s="19">
        <f t="shared" si="2"/>
        <v>0</v>
      </c>
      <c r="E28" s="20">
        <f t="shared" si="1"/>
        <v>29.417570915602635</v>
      </c>
      <c r="F28" s="27">
        <f>SUM(pHealthyStage1*C27,(1-SUM(pStage1Remission,pStage1Stage2))*F27,pStage2Stage1*I27,pRemissionStage1_trtB*O27)*(1-'Life Table - Male'!B72)</f>
        <v>86.621548266000019</v>
      </c>
      <c r="G28" s="19">
        <f t="shared" si="3"/>
        <v>44128.996127903221</v>
      </c>
      <c r="H28" s="20">
        <f t="shared" si="4"/>
        <v>24.270947870346767</v>
      </c>
      <c r="I28" s="27">
        <f>SUM(pHealthyStage2*C27,pStage1Stage2*F27,(1-SUM(pStage2Remission, pStage2Stage1, pStage2Stage3))*I27,pStage3Stage2*L27,pRemissionStage2_trtB*O27)*(1-'Life Table - Male'!B72)</f>
        <v>50.701385985699559</v>
      </c>
      <c r="J28" s="19">
        <f t="shared" si="5"/>
        <v>116233.26871706481</v>
      </c>
      <c r="K28" s="20">
        <f t="shared" si="6"/>
        <v>11.461891776266112</v>
      </c>
      <c r="L28" s="27">
        <f>SUM(pHealthyStage3*C27,pStage2Stage3*I27,(1-SUM(pStage3Death, pStage3Stage2))*L27)*(1-'Life Table - Male'!B72)</f>
        <v>17.696019971066281</v>
      </c>
      <c r="M28" s="19">
        <f t="shared" si="7"/>
        <v>130719.90030211065</v>
      </c>
      <c r="N28" s="20">
        <f t="shared" si="8"/>
        <v>2.028412246067234</v>
      </c>
      <c r="O28" s="27">
        <f>SUM(pStage1Remission*F27,pStage2Remission*I27,(1-SUM(pRemissionStage1_trtB, pRemissionStage2_trtB))*O27)*(1-'Life Table - Male'!B72)</f>
        <v>279.3089354773054</v>
      </c>
      <c r="P28" s="19">
        <f t="shared" si="9"/>
        <v>675890.81585110014</v>
      </c>
      <c r="Q28" s="20">
        <f t="shared" si="10"/>
        <v>84.486351981387514</v>
      </c>
      <c r="R28" s="27">
        <f>SUM(pStage3Death*L27*(1-'Life Table - Male'!B72),R27)</f>
        <v>259.8698878993805</v>
      </c>
      <c r="S28" s="19">
        <f t="shared" si="11"/>
        <v>0</v>
      </c>
      <c r="T28" s="23">
        <f t="shared" si="12"/>
        <v>0</v>
      </c>
      <c r="U28" s="13">
        <f>SUM(B27*'Life Table - Male'!B72,U27)</f>
        <v>213.41143130985898</v>
      </c>
      <c r="V28" s="49">
        <f t="shared" si="14"/>
        <v>0</v>
      </c>
      <c r="W28" s="54">
        <v>0.66666666666666663</v>
      </c>
      <c r="X28" s="13">
        <f t="shared" si="15"/>
        <v>966972.98099817883</v>
      </c>
      <c r="Y28" s="25">
        <f t="shared" si="15"/>
        <v>151.66517478967026</v>
      </c>
    </row>
    <row r="29" spans="1:25" x14ac:dyDescent="0.2">
      <c r="A29" s="10">
        <v>26</v>
      </c>
      <c r="B29" s="15">
        <f t="shared" si="13"/>
        <v>505.57579274001898</v>
      </c>
      <c r="C29" s="27">
        <f>(1-SUM(pHealthyStage1,pHealthyStage2,pHealthyStage3))*C28*(1-'Life Table - Male'!B73)</f>
        <v>82.84000070847155</v>
      </c>
      <c r="D29" s="19">
        <f t="shared" si="2"/>
        <v>0</v>
      </c>
      <c r="E29" s="20">
        <f t="shared" si="1"/>
        <v>51.216628732693636</v>
      </c>
      <c r="F29" s="27">
        <f>SUM(pHealthyStage1*C28,(1-SUM(pStage1Remission,pStage1Stage2))*F28,pStage2Stage1*I28,pRemissionStage1_trtB*O28)*(1-'Life Table - Male'!B73)</f>
        <v>83.623381294579943</v>
      </c>
      <c r="G29" s="19">
        <f t="shared" si="3"/>
        <v>82721.538126669606</v>
      </c>
      <c r="H29" s="20">
        <f t="shared" si="4"/>
        <v>45.496845969668279</v>
      </c>
      <c r="I29" s="27">
        <f>SUM(pHealthyStage2*C28,pStage1Stage2*F28,(1-SUM(pStage2Remission, pStage2Stage1, pStage2Stage3))*I28,pStage3Stage2*L28,pRemissionStage2_trtB*O28)*(1-'Life Table - Male'!B73)</f>
        <v>48.919603222899148</v>
      </c>
      <c r="J29" s="19">
        <f t="shared" si="5"/>
        <v>217764.11599528327</v>
      </c>
      <c r="K29" s="20">
        <f t="shared" si="6"/>
        <v>21.473961438423764</v>
      </c>
      <c r="L29" s="27">
        <f>SUM(pHealthyStage3*C28,pStage2Stage3*I28,(1-SUM(pStage3Death, pStage3Stage2))*L28)*(1-'Life Table - Male'!B73)</f>
        <v>16.935636588941474</v>
      </c>
      <c r="M29" s="19">
        <f t="shared" si="7"/>
        <v>242918.39612916971</v>
      </c>
      <c r="N29" s="20">
        <f t="shared" si="8"/>
        <v>3.769423388211254</v>
      </c>
      <c r="O29" s="27">
        <f>SUM(pStage1Remission*F28,pStage2Remission*I28,(1-SUM(pRemissionStage1_trtB, pRemissionStage2_trtB))*O28)*(1-'Life Table - Male'!B73)</f>
        <v>273.2571709251269</v>
      </c>
      <c r="P29" s="19">
        <f t="shared" si="9"/>
        <v>1283973.4818464678</v>
      </c>
      <c r="Q29" s="20">
        <f t="shared" si="10"/>
        <v>160.49668523080845</v>
      </c>
      <c r="R29" s="27">
        <f>SUM(pStage3Death*L28*(1-'Life Table - Male'!B73),R28)</f>
        <v>267.63078087338192</v>
      </c>
      <c r="S29" s="19">
        <f t="shared" si="11"/>
        <v>0</v>
      </c>
      <c r="T29" s="23">
        <f t="shared" si="12"/>
        <v>0</v>
      </c>
      <c r="U29" s="13">
        <f>SUM(B28*'Life Table - Male'!B73,U28)</f>
        <v>226.79342638659952</v>
      </c>
      <c r="V29" s="49">
        <f t="shared" si="14"/>
        <v>0</v>
      </c>
      <c r="W29" s="54">
        <v>1.3333333333333333</v>
      </c>
      <c r="X29" s="13">
        <f t="shared" si="15"/>
        <v>1827377.5320975904</v>
      </c>
      <c r="Y29" s="25">
        <f t="shared" si="15"/>
        <v>282.45354475980537</v>
      </c>
    </row>
    <row r="30" spans="1:25" x14ac:dyDescent="0.2">
      <c r="A30" s="10">
        <v>27</v>
      </c>
      <c r="B30" s="15">
        <f t="shared" si="13"/>
        <v>484.42992335273209</v>
      </c>
      <c r="C30" s="27">
        <f>(1-SUM(pHealthyStage1,pHealthyStage2,pHealthyStage3))*C29*(1-'Life Table - Male'!B74)</f>
        <v>74.142802559870745</v>
      </c>
      <c r="D30" s="19">
        <f t="shared" si="2"/>
        <v>0</v>
      </c>
      <c r="E30" s="20">
        <f t="shared" si="1"/>
        <v>22.252185517492631</v>
      </c>
      <c r="F30" s="27">
        <f>SUM(pHealthyStage1*C29,(1-SUM(pStage1Remission,pStage1Stage2))*F29,pStage2Stage1*I29,pRemissionStage1_trtB*O29)*(1-'Life Table - Male'!B74)</f>
        <v>80.554738336584151</v>
      </c>
      <c r="G30" s="19">
        <f t="shared" si="3"/>
        <v>38682.519028465955</v>
      </c>
      <c r="H30" s="20">
        <f t="shared" si="4"/>
        <v>21.275385465656274</v>
      </c>
      <c r="I30" s="27">
        <f>SUM(pHealthyStage2*C29,pStage1Stage2*F29,(1-SUM(pStage2Remission, pStage2Stage1, pStage2Stage3))*I29,pStage3Stage2*L29,pRemissionStage2_trtB*O29)*(1-'Life Table - Male'!B74)</f>
        <v>47.100397734920676</v>
      </c>
      <c r="J30" s="19">
        <f t="shared" si="5"/>
        <v>101779.60119583315</v>
      </c>
      <c r="K30" s="20">
        <f t="shared" si="6"/>
        <v>10.036599562366881</v>
      </c>
      <c r="L30" s="27">
        <f>SUM(pHealthyStage3*C29,pStage2Stage3*I29,(1-SUM(pStage3Death, pStage3Stage2))*L29)*(1-'Life Table - Male'!B74)</f>
        <v>16.182362280319229</v>
      </c>
      <c r="M30" s="19">
        <f t="shared" si="7"/>
        <v>112676.55970984031</v>
      </c>
      <c r="N30" s="20">
        <f t="shared" si="8"/>
        <v>1.7484293748078665</v>
      </c>
      <c r="O30" s="27">
        <f>SUM(pStage1Remission*F29,pStage2Remission*I29,(1-SUM(pRemissionStage1_trtB, pRemissionStage2_trtB))*O29)*(1-'Life Table - Male'!B74)</f>
        <v>266.44962244103732</v>
      </c>
      <c r="P30" s="19">
        <f t="shared" si="9"/>
        <v>607760.3666081283</v>
      </c>
      <c r="Q30" s="20">
        <f t="shared" si="10"/>
        <v>75.970045826016019</v>
      </c>
      <c r="R30" s="27">
        <f>SUM(pStage3Death*L29*(1-'Life Table - Male'!B74),R29)</f>
        <v>275.04482414558026</v>
      </c>
      <c r="S30" s="19">
        <f t="shared" si="11"/>
        <v>0</v>
      </c>
      <c r="T30" s="23">
        <f t="shared" si="12"/>
        <v>0</v>
      </c>
      <c r="U30" s="13">
        <f>SUM(B29*'Life Table - Male'!B74,U29)</f>
        <v>240.52525250168807</v>
      </c>
      <c r="V30" s="49">
        <f t="shared" si="14"/>
        <v>0</v>
      </c>
      <c r="W30" s="54">
        <v>0.66666666666666663</v>
      </c>
      <c r="X30" s="13">
        <f t="shared" si="15"/>
        <v>860899.04654226778</v>
      </c>
      <c r="Y30" s="25">
        <f t="shared" si="15"/>
        <v>131.28264574633968</v>
      </c>
    </row>
    <row r="31" spans="1:25" x14ac:dyDescent="0.2">
      <c r="A31" s="10">
        <v>28</v>
      </c>
      <c r="B31" s="15">
        <f t="shared" si="13"/>
        <v>463.18757482460416</v>
      </c>
      <c r="C31" s="27">
        <f>(1-SUM(pHealthyStage1,pHealthyStage2,pHealthyStage3))*C30*(1-'Life Table - Male'!B75)</f>
        <v>66.215665085678538</v>
      </c>
      <c r="D31" s="19">
        <f t="shared" si="2"/>
        <v>0</v>
      </c>
      <c r="E31" s="20">
        <f t="shared" si="1"/>
        <v>38.588437206224917</v>
      </c>
      <c r="F31" s="27">
        <f>SUM(pHealthyStage1*C30,(1-SUM(pStage1Remission,pStage1Stage2))*F30,pStage2Stage1*I30,pRemissionStage1_trtB*O30)*(1-'Life Table - Male'!B75)</f>
        <v>77.40573237328816</v>
      </c>
      <c r="G31" s="19">
        <f t="shared" si="3"/>
        <v>72175.458522657471</v>
      </c>
      <c r="H31" s="20">
        <f t="shared" si="4"/>
        <v>39.696502187461604</v>
      </c>
      <c r="I31" s="27">
        <f>SUM(pHealthyStage2*C30,pStage1Stage2*F30,(1-SUM(pStage2Remission, pStage2Stage1, pStage2Stage3))*I30,pStage3Stage2*L30,pRemissionStage2_trtB*O30)*(1-'Life Table - Male'!B75)</f>
        <v>45.237728536508961</v>
      </c>
      <c r="J31" s="19">
        <f t="shared" si="5"/>
        <v>189814.65129160747</v>
      </c>
      <c r="K31" s="20">
        <f t="shared" si="6"/>
        <v>18.717833669033514</v>
      </c>
      <c r="L31" s="27">
        <f>SUM(pHealthyStage3*C30,pStage2Stage3*I30,(1-SUM(pStage3Death, pStage3Stage2))*L30)*(1-'Life Table - Male'!B75)</f>
        <v>15.432538383045259</v>
      </c>
      <c r="M31" s="19">
        <f t="shared" si="7"/>
        <v>208651.63660751184</v>
      </c>
      <c r="N31" s="20">
        <f t="shared" si="8"/>
        <v>3.2376978094269075</v>
      </c>
      <c r="O31" s="27">
        <f>SUM(pStage1Remission*F30,pStage2Remission*I30,(1-SUM(pRemissionStage1_trtB, pRemissionStage2_trtB))*O30)*(1-'Life Table - Male'!B75)</f>
        <v>258.89591044608324</v>
      </c>
      <c r="P31" s="19">
        <f t="shared" si="9"/>
        <v>1146661.4906616698</v>
      </c>
      <c r="Q31" s="20">
        <f t="shared" si="10"/>
        <v>143.33268633270876</v>
      </c>
      <c r="R31" s="27">
        <f>SUM(pStage3Death*L30*(1-'Life Table - Male'!B75),R30)</f>
        <v>282.11383019852735</v>
      </c>
      <c r="S31" s="19">
        <f t="shared" si="11"/>
        <v>0</v>
      </c>
      <c r="T31" s="23">
        <f t="shared" si="12"/>
        <v>0</v>
      </c>
      <c r="U31" s="13">
        <f>SUM(B30*'Life Table - Male'!B75,U30)</f>
        <v>254.69859497686903</v>
      </c>
      <c r="V31" s="49">
        <f t="shared" si="14"/>
        <v>0</v>
      </c>
      <c r="W31" s="54">
        <v>1.3333333333333333</v>
      </c>
      <c r="X31" s="13">
        <f t="shared" si="15"/>
        <v>1617303.2370834465</v>
      </c>
      <c r="Y31" s="25">
        <f t="shared" si="15"/>
        <v>243.5731572048557</v>
      </c>
    </row>
    <row r="32" spans="1:25" x14ac:dyDescent="0.2">
      <c r="A32" s="10">
        <v>29</v>
      </c>
      <c r="B32" s="15">
        <f t="shared" si="13"/>
        <v>441.93929392667985</v>
      </c>
      <c r="C32" s="27">
        <f>(1-SUM(pHealthyStage1,pHealthyStage2,pHealthyStage3))*C31*(1-'Life Table - Male'!B76)</f>
        <v>59.008563228056182</v>
      </c>
      <c r="D32" s="19">
        <f t="shared" si="2"/>
        <v>0</v>
      </c>
      <c r="E32" s="20">
        <f t="shared" si="1"/>
        <v>16.693379433637904</v>
      </c>
      <c r="F32" s="27">
        <f>SUM(pHealthyStage1*C31,(1-SUM(pStage1Remission,pStage1Stage2))*F31,pStage2Stage1*I31,pRemissionStage1_trtB*O31)*(1-'Life Table - Male'!B76)</f>
        <v>74.196648145180447</v>
      </c>
      <c r="G32" s="19">
        <f t="shared" si="3"/>
        <v>33584.082917720596</v>
      </c>
      <c r="H32" s="20">
        <f t="shared" si="4"/>
        <v>18.471245604746329</v>
      </c>
      <c r="I32" s="27">
        <f>SUM(pHealthyStage2*C31,pStage1Stage2*F31,(1-SUM(pStage2Remission, pStage2Stage1, pStage2Stage3))*I31,pStage3Stage2*L31,pRemissionStage2_trtB*O31)*(1-'Life Table - Male'!B76)</f>
        <v>43.343198463693916</v>
      </c>
      <c r="J32" s="19">
        <f t="shared" si="5"/>
        <v>88284.137273162181</v>
      </c>
      <c r="K32" s="20">
        <f t="shared" si="6"/>
        <v>8.7057968699923816</v>
      </c>
      <c r="L32" s="27">
        <f>SUM(pHealthyStage3*C31,pStage2Stage3*I31,(1-SUM(pStage3Death, pStage3Stage2))*L31)*(1-'Life Table - Male'!B76)</f>
        <v>14.688677005362049</v>
      </c>
      <c r="M32" s="19">
        <f t="shared" si="7"/>
        <v>96405.073585661783</v>
      </c>
      <c r="N32" s="20">
        <f t="shared" si="8"/>
        <v>1.4959407970188894</v>
      </c>
      <c r="O32" s="27">
        <f>SUM(pStage1Remission*F31,pStage2Remission*I31,(1-SUM(pRemissionStage1_trtB, pRemissionStage2_trtB))*O31)*(1-'Life Table - Male'!B76)</f>
        <v>250.70220708438725</v>
      </c>
      <c r="P32" s="19">
        <f t="shared" si="9"/>
        <v>539015.15262575261</v>
      </c>
      <c r="Q32" s="20">
        <f t="shared" si="10"/>
        <v>67.376894078219081</v>
      </c>
      <c r="R32" s="27">
        <f>SUM(pStage3Death*L31*(1-'Life Table - Male'!B76),R31)</f>
        <v>288.8407515017376</v>
      </c>
      <c r="S32" s="19">
        <f t="shared" si="11"/>
        <v>0</v>
      </c>
      <c r="T32" s="23">
        <f t="shared" si="12"/>
        <v>0</v>
      </c>
      <c r="U32" s="13">
        <f>SUM(B31*'Life Table - Male'!B76,U31)</f>
        <v>269.21995457158312</v>
      </c>
      <c r="V32" s="49">
        <f t="shared" si="14"/>
        <v>0</v>
      </c>
      <c r="W32" s="54">
        <v>0.66666666666666663</v>
      </c>
      <c r="X32" s="13">
        <f t="shared" si="15"/>
        <v>757288.44640229712</v>
      </c>
      <c r="Y32" s="25">
        <f t="shared" si="15"/>
        <v>112.74325678361458</v>
      </c>
    </row>
    <row r="33" spans="1:25" ht="16" thickBot="1" x14ac:dyDescent="0.25">
      <c r="A33" s="11">
        <v>30</v>
      </c>
      <c r="B33" s="166">
        <f t="shared" si="13"/>
        <v>420.01442948091642</v>
      </c>
      <c r="C33" s="28">
        <f>(1-SUM(pHealthyStage1,pHealthyStage2,pHealthyStage3))*C32*(1-'Life Table - Male'!B77)</f>
        <v>52.378021652145783</v>
      </c>
      <c r="D33" s="21">
        <f t="shared" si="2"/>
        <v>0</v>
      </c>
      <c r="E33" s="22">
        <f t="shared" si="1"/>
        <v>7.1930171367738502</v>
      </c>
      <c r="F33" s="28">
        <f>SUM(pHealthyStage1*C32,(1-SUM(pStage1Remission,pStage1Stage2))*F32,pStage2Stage1*I32,pRemissionStage1_trtB*O32)*(1-'Life Table - Male'!B77)</f>
        <v>70.819306032556128</v>
      </c>
      <c r="G33" s="21">
        <f t="shared" si="3"/>
        <v>15560.862081876328</v>
      </c>
      <c r="H33" s="22">
        <f t="shared" si="4"/>
        <v>8.5584741450319815</v>
      </c>
      <c r="I33" s="28">
        <f>SUM(pHealthyStage2*C32,pStage1Stage2*F32,(1-SUM(pStage2Remission, pStage2Stage1, pStage2Stage3))*I32,pStage3Stage2*L32,pRemissionStage2_trtB*O32)*(1-'Life Table - Male'!B77)</f>
        <v>41.353389184488037</v>
      </c>
      <c r="J33" s="21">
        <f t="shared" si="5"/>
        <v>40888.917132281698</v>
      </c>
      <c r="K33" s="22">
        <f t="shared" si="6"/>
        <v>4.0321015505444455</v>
      </c>
      <c r="L33" s="28">
        <f>SUM(pHealthyStage3*C32,pStage2Stage3*I32,(1-SUM(pStage3Death, pStage3Stage2))*L32)*(1-'Life Table - Male'!B77)</f>
        <v>13.928046421594756</v>
      </c>
      <c r="M33" s="21">
        <f t="shared" si="7"/>
        <v>44375.18683652758</v>
      </c>
      <c r="N33" s="22">
        <f t="shared" si="8"/>
        <v>0.68858048539439354</v>
      </c>
      <c r="O33" s="28">
        <f>SUM(pStage1Remission*F32,pStage2Remission*I32,(1-SUM(pRemissionStage1_trtB, pRemissionStage2_trtB))*O32)*(1-'Life Table - Male'!B77)</f>
        <v>241.53566619013171</v>
      </c>
      <c r="P33" s="21">
        <f t="shared" si="9"/>
        <v>252090.72426700997</v>
      </c>
      <c r="Q33" s="22">
        <f t="shared" si="10"/>
        <v>31.511340533376249</v>
      </c>
      <c r="R33" s="28">
        <f>SUM(pStage3Death*L32*(1-'Life Table - Male'!B77),R32)</f>
        <v>295.21811861709534</v>
      </c>
      <c r="S33" s="21">
        <f t="shared" si="11"/>
        <v>0</v>
      </c>
      <c r="T33" s="24">
        <f t="shared" si="12"/>
        <v>0</v>
      </c>
      <c r="U33" s="166">
        <f>SUM(B32*'Life Table - Male'!B77,U32)</f>
        <v>284.76745190198886</v>
      </c>
      <c r="V33" s="49">
        <f t="shared" si="14"/>
        <v>0</v>
      </c>
      <c r="W33" s="54">
        <v>0.33333333333333331</v>
      </c>
      <c r="X33" s="13">
        <f t="shared" si="15"/>
        <v>352915.69031769561</v>
      </c>
      <c r="Y33" s="25">
        <f t="shared" si="15"/>
        <v>51.983513851120918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29" t="s">
        <v>80</v>
      </c>
      <c r="W34" s="53"/>
      <c r="X34" s="30">
        <f>SUM(X3:X33)</f>
        <v>50710441.472377717</v>
      </c>
      <c r="Y34" s="31">
        <f>SUM(Y3:Y33)</f>
        <v>14069.869617744671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D2B9-262B-1944-861A-B1679BB2BA6F}">
  <sheetPr codeName="Sheet4"/>
  <dimension ref="A1:X113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7.164062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2000" width="8.83203125" style="1"/>
    <col min="2001" max="2001" width="2.33203125" style="1" customWidth="1"/>
    <col min="2002" max="16384" width="8.83203125" style="1"/>
  </cols>
  <sheetData>
    <row r="1" spans="1:24" x14ac:dyDescent="0.2">
      <c r="C1" s="213" t="s">
        <v>7</v>
      </c>
      <c r="D1" s="214"/>
      <c r="E1" s="215"/>
      <c r="F1" s="216" t="s">
        <v>8</v>
      </c>
      <c r="G1" s="217"/>
      <c r="H1" s="218"/>
      <c r="I1" s="219" t="s">
        <v>9</v>
      </c>
      <c r="J1" s="220"/>
      <c r="K1" s="221"/>
      <c r="L1" s="222" t="s">
        <v>10</v>
      </c>
      <c r="M1" s="223"/>
      <c r="N1" s="224"/>
      <c r="O1" s="225" t="s">
        <v>11</v>
      </c>
      <c r="P1" s="226"/>
      <c r="Q1" s="227"/>
      <c r="R1" s="210" t="s">
        <v>12</v>
      </c>
      <c r="S1" s="211"/>
      <c r="T1" s="212"/>
    </row>
    <row r="2" spans="1:24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>SUM(C3,F3,I3,L3,O3)</f>
        <v>1000</v>
      </c>
      <c r="C4" s="27">
        <f>(1-SUM(pHealthyStage1,pHealthyStage2,pHealthyStage3))*C3</f>
        <v>920</v>
      </c>
      <c r="D4" s="19">
        <f t="shared" ref="D4:D33" si="2">C4*0*V4/(1+discount_rate)^A4</f>
        <v>0</v>
      </c>
      <c r="E4" s="20">
        <f t="shared" si="1"/>
        <v>595.46925566343032</v>
      </c>
      <c r="F4" s="27" cm="1">
        <f t="array" ref="F4">SUM(pHealthyStage1*C3,(1-SUM(pStage1Remission,pStage1Stage2))*F3,pStage2Stage1*I3,pRemissionStage1_trtB*O3)</f>
        <v>50</v>
      </c>
      <c r="G4" s="19">
        <f t="shared" ref="G4:G33" si="3">F4*SUM(nVisitsStage1*cVisit,cTreatmentStage1)*V4/(1+discount_rate)^A4</f>
        <v>51779.935275080898</v>
      </c>
      <c r="H4" s="20">
        <f t="shared" ref="H4:H33" si="4">F4*uStage1*V4/(1+discount_rate)^A4</f>
        <v>28.478964401294498</v>
      </c>
      <c r="I4" s="27" cm="1">
        <f t="array" ref="I4">SUM(pHealthyStage2*C3,pStage1Stage2*F3,(1-SUM(pStage2Remission, pStage2Stage1, pStage2Stage3))*I3,pStage3Stage2*L3,pRemissionStage2_trtB*O3)</f>
        <v>20</v>
      </c>
      <c r="J4" s="19">
        <f t="shared" ref="J4:J33" si="5">I4*SUM(nVisitsStage2*cVisit,cTreatmentStage2)*V4/(1+discount_rate)^A4</f>
        <v>93203.883495145623</v>
      </c>
      <c r="K4" s="20">
        <f t="shared" ref="K4:K33" si="6">I4*uStage2*V4/(1+discount_rate)^A4</f>
        <v>9.1909385113268591</v>
      </c>
      <c r="L4" s="27">
        <f t="shared" ref="L4:L33" si="7">SUM(pHealthyStage3*C3,pStage2Stage3*I3,(1-SUM(pStage3Death, pStage3Stage2))*L3)</f>
        <v>10</v>
      </c>
      <c r="M4" s="19">
        <f t="shared" ref="M4:M33" si="8">L4*SUM(nVisitsStage3*cVisit,cTreatmentStage3)*V4/(1+discount_rate)^A4</f>
        <v>150161.81229773461</v>
      </c>
      <c r="N4" s="20">
        <f t="shared" ref="N4:N33" si="9">L4*uStage3*V4/(1+discount_rate)^A4</f>
        <v>2.3300970873786402</v>
      </c>
      <c r="O4" s="27">
        <f t="shared" ref="O4:O33" si="10">SUM(pStage1Remission*F3,pStage2Remission*I3,(1-SUM(pRemissionStage1_trtB, pRemissionStage2_trtB))*O3)</f>
        <v>0</v>
      </c>
      <c r="P4" s="19">
        <f t="shared" ref="P4:P33" si="11">O4*SUM(nVisitsRemission*cVisit, cTrtB)*V4/(1+discount_rate)^A4</f>
        <v>0</v>
      </c>
      <c r="Q4" s="20">
        <f t="shared" ref="Q4:Q33" si="12">O4*uRemission*V4/(1+discount_rate)^A4</f>
        <v>0</v>
      </c>
      <c r="R4" s="27">
        <f t="shared" ref="R4:R33" si="13">SUM(pStage3Death*L3,R3)</f>
        <v>0</v>
      </c>
      <c r="S4" s="19">
        <f t="shared" ref="S4:S33" si="14">R4*0*V4/(1+discount_rate)^A4</f>
        <v>0</v>
      </c>
      <c r="T4" s="23">
        <f t="shared" ref="T4:T33" si="15">R4*0*V4/(1+discount_rate)^A4</f>
        <v>0</v>
      </c>
      <c r="U4" s="49">
        <f t="shared" ref="U4:U33" si="16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>SUM(C4,F4,I4,L4,O4)</f>
        <v>1000</v>
      </c>
      <c r="C5" s="27">
        <f>(1-SUM(pHealthyStage1,pHealthyStage2,pHealthyStage3))*C4</f>
        <v>846.40000000000009</v>
      </c>
      <c r="D5" s="19">
        <f t="shared" si="2"/>
        <v>0</v>
      </c>
      <c r="E5" s="20">
        <f t="shared" si="1"/>
        <v>1063.7509033210797</v>
      </c>
      <c r="F5" s="27" cm="1">
        <f t="array" ref="F5">SUM(pHealthyStage1*C4,(1-SUM(pStage1Remission,pStage1Stage2))*F4,pStage2Stage1*I4,pRemissionStage1_trtB*O4)</f>
        <v>79.5</v>
      </c>
      <c r="G5" s="19">
        <f t="shared" si="3"/>
        <v>159864.26618908474</v>
      </c>
      <c r="H5" s="20">
        <f t="shared" si="4"/>
        <v>87.925346403996599</v>
      </c>
      <c r="I5" s="27" cm="1">
        <f t="array" ref="I5">SUM(pHealthyStage2*C4,pStage1Stage2*F4,(1-SUM(pStage2Remission, pStage2Stage1, pStage2Stage3))*I4,pStage3Stage2*L4,pRemissionStage2_trtB*O4)</f>
        <v>35.900000000000006</v>
      </c>
      <c r="J5" s="19">
        <f t="shared" si="5"/>
        <v>324856.25412385713</v>
      </c>
      <c r="K5" s="20">
        <f t="shared" si="6"/>
        <v>32.034436170547025</v>
      </c>
      <c r="L5" s="27">
        <f t="shared" si="7"/>
        <v>17.200000000000003</v>
      </c>
      <c r="M5" s="19">
        <f t="shared" si="8"/>
        <v>501511.29544097785</v>
      </c>
      <c r="N5" s="20">
        <f t="shared" si="9"/>
        <v>7.7820718258082762</v>
      </c>
      <c r="O5" s="27">
        <f t="shared" si="10"/>
        <v>16.5</v>
      </c>
      <c r="P5" s="19">
        <f t="shared" si="11"/>
        <v>157602.03600716373</v>
      </c>
      <c r="Q5" s="20">
        <f t="shared" si="12"/>
        <v>19.700254500895465</v>
      </c>
      <c r="R5" s="27">
        <f t="shared" si="13"/>
        <v>4.5</v>
      </c>
      <c r="S5" s="19">
        <f t="shared" si="14"/>
        <v>0</v>
      </c>
      <c r="T5" s="23">
        <f t="shared" si="15"/>
        <v>0</v>
      </c>
      <c r="U5" s="49">
        <f t="shared" si="16"/>
        <v>0</v>
      </c>
      <c r="V5" s="54">
        <v>1.3333333333333333</v>
      </c>
      <c r="W5" s="13">
        <f t="shared" ref="W5:X33" si="17">SUM(D5,G5,J5,M5,P5,S5)</f>
        <v>1143833.8517610836</v>
      </c>
      <c r="X5" s="25">
        <f t="shared" si="17"/>
        <v>1211.1930122223271</v>
      </c>
    </row>
    <row r="6" spans="1:24" x14ac:dyDescent="0.2">
      <c r="A6" s="10">
        <v>3</v>
      </c>
      <c r="B6" s="15">
        <f t="shared" ref="B6:B33" si="18">SUM(C5,F5,I5,L5,O5)</f>
        <v>995.50000000000011</v>
      </c>
      <c r="C6" s="27">
        <f t="shared" ref="C6:C33" si="19">(1-SUM(pHealthyStage1,pHealthyStage2,pHealthyStage3))*C5</f>
        <v>778.6880000000001</v>
      </c>
      <c r="D6" s="19">
        <f t="shared" si="2"/>
        <v>0</v>
      </c>
      <c r="E6" s="20">
        <f t="shared" si="1"/>
        <v>475.07321895892881</v>
      </c>
      <c r="F6" s="27" cm="1">
        <f t="array" ref="F6">SUM(pHealthyStage1*C5,(1-SUM(pStage1Remission,pStage1Stage2))*F5,pStage2Stage1*I5,pRemissionStage1_trtB*O5)</f>
        <v>97.11</v>
      </c>
      <c r="G6" s="19">
        <f t="shared" si="3"/>
        <v>94794.033642437687</v>
      </c>
      <c r="H6" s="20">
        <f t="shared" si="4"/>
        <v>52.136718503340724</v>
      </c>
      <c r="I6" s="27" cm="1">
        <f t="array" ref="I6">SUM(pHealthyStage2*C5,pStage1Stage2*F5,(1-SUM(pStage2Remission, pStage2Stage1, pStage2Stage3))*I5,pStage3Stage2*L5,pRemissionStage2_trtB*O5)</f>
        <v>47.773000000000003</v>
      </c>
      <c r="J6" s="19">
        <f t="shared" si="5"/>
        <v>209851.4999629368</v>
      </c>
      <c r="K6" s="20">
        <f t="shared" si="6"/>
        <v>20.693689579678484</v>
      </c>
      <c r="L6" s="27">
        <f t="shared" si="7"/>
        <v>22.449000000000002</v>
      </c>
      <c r="M6" s="19">
        <f t="shared" si="8"/>
        <v>317747.43371400179</v>
      </c>
      <c r="N6" s="20">
        <f t="shared" si="9"/>
        <v>4.9305636265965793</v>
      </c>
      <c r="O6" s="27">
        <f t="shared" si="10"/>
        <v>41.74</v>
      </c>
      <c r="P6" s="19">
        <f t="shared" si="11"/>
        <v>193536.59849776444</v>
      </c>
      <c r="Q6" s="20">
        <f t="shared" si="12"/>
        <v>24.192074812220557</v>
      </c>
      <c r="R6" s="27">
        <f t="shared" si="13"/>
        <v>12.240000000000002</v>
      </c>
      <c r="S6" s="19">
        <f t="shared" si="14"/>
        <v>0</v>
      </c>
      <c r="T6" s="23">
        <f t="shared" si="15"/>
        <v>0</v>
      </c>
      <c r="U6" s="49">
        <f t="shared" si="16"/>
        <v>0</v>
      </c>
      <c r="V6" s="54">
        <v>0.66666666666666663</v>
      </c>
      <c r="W6" s="13">
        <f t="shared" si="17"/>
        <v>815929.56581714074</v>
      </c>
      <c r="X6" s="25">
        <f t="shared" si="17"/>
        <v>577.02626548076512</v>
      </c>
    </row>
    <row r="7" spans="1:24" x14ac:dyDescent="0.2">
      <c r="A7" s="10">
        <v>4</v>
      </c>
      <c r="B7" s="15">
        <f t="shared" si="18"/>
        <v>987.7600000000001</v>
      </c>
      <c r="C7" s="27">
        <f t="shared" si="19"/>
        <v>716.39296000000013</v>
      </c>
      <c r="D7" s="19">
        <f t="shared" si="2"/>
        <v>0</v>
      </c>
      <c r="E7" s="20">
        <f t="shared" si="1"/>
        <v>848.67448823730979</v>
      </c>
      <c r="F7" s="27" cm="1">
        <f t="array" ref="F7">SUM(pHealthyStage1*C6,(1-SUM(pStage1Remission,pStage1Stage2))*F6,pStage2Stage1*I6,pRemissionStage1_trtB*O6)</f>
        <v>107.78375000000001</v>
      </c>
      <c r="G7" s="19">
        <f t="shared" si="3"/>
        <v>204297.52714833632</v>
      </c>
      <c r="H7" s="20">
        <f t="shared" si="4"/>
        <v>112.36363993158498</v>
      </c>
      <c r="I7" s="27" cm="1">
        <f t="array" ref="I7">SUM(pHealthyStage2*C6,pStage1Stage2*F6,(1-SUM(pStage2Remission, pStage2Stage1, pStage2Stage3))*I6,pStage3Stage2*L6,pRemissionStage2_trtB*O6)</f>
        <v>56.323210000000003</v>
      </c>
      <c r="J7" s="19">
        <f t="shared" si="5"/>
        <v>480407.44878753996</v>
      </c>
      <c r="K7" s="20">
        <f t="shared" si="6"/>
        <v>47.373512310993519</v>
      </c>
      <c r="L7" s="27">
        <f t="shared" si="7"/>
        <v>26.177330000000005</v>
      </c>
      <c r="M7" s="19">
        <f t="shared" si="8"/>
        <v>719454.23036419135</v>
      </c>
      <c r="N7" s="20">
        <f t="shared" si="9"/>
        <v>11.163944953927107</v>
      </c>
      <c r="O7" s="27">
        <f t="shared" si="10"/>
        <v>70.980699999999999</v>
      </c>
      <c r="P7" s="19">
        <f t="shared" si="11"/>
        <v>639063.05036682321</v>
      </c>
      <c r="Q7" s="20">
        <f t="shared" si="12"/>
        <v>79.882881295852911</v>
      </c>
      <c r="R7" s="27">
        <f t="shared" si="13"/>
        <v>22.34205</v>
      </c>
      <c r="S7" s="19">
        <f t="shared" si="14"/>
        <v>0</v>
      </c>
      <c r="T7" s="23">
        <f t="shared" si="15"/>
        <v>0</v>
      </c>
      <c r="U7" s="49">
        <f t="shared" si="16"/>
        <v>0</v>
      </c>
      <c r="V7" s="54">
        <v>1.3333333333333333</v>
      </c>
      <c r="W7" s="13">
        <f t="shared" si="17"/>
        <v>2043222.2566668908</v>
      </c>
      <c r="X7" s="25">
        <f t="shared" si="17"/>
        <v>1099.4584667296683</v>
      </c>
    </row>
    <row r="8" spans="1:24" x14ac:dyDescent="0.2">
      <c r="A8" s="10">
        <v>5</v>
      </c>
      <c r="B8" s="15">
        <f t="shared" si="18"/>
        <v>977.65795000000014</v>
      </c>
      <c r="C8" s="27">
        <f t="shared" si="19"/>
        <v>659.08152320000011</v>
      </c>
      <c r="D8" s="19">
        <f t="shared" si="2"/>
        <v>0</v>
      </c>
      <c r="E8" s="20">
        <f t="shared" si="1"/>
        <v>379.01967435841021</v>
      </c>
      <c r="F8" s="27" cm="1">
        <f t="array" ref="F8">SUM(pHealthyStage1*C7,(1-SUM(pStage1Remission,pStage1Stage2))*F7,pStage2Stage1*I7,pRemissionStage1_trtB*O7)</f>
        <v>114.37370200000002</v>
      </c>
      <c r="G8" s="19">
        <f t="shared" si="3"/>
        <v>105237.07738425244</v>
      </c>
      <c r="H8" s="20">
        <f t="shared" si="4"/>
        <v>57.880392561338837</v>
      </c>
      <c r="I8" s="27" cm="1">
        <f t="array" ref="I8">SUM(pHealthyStage2*C7,pStage1Stage2*F7,(1-SUM(pStage2Remission, pStage2Stage1, pStage2Stage3))*I7,pStage3Stage2*L7,pRemissionStage2_trtB*O7)</f>
        <v>62.338447700000003</v>
      </c>
      <c r="J8" s="19">
        <f t="shared" si="5"/>
        <v>258113.72443628538</v>
      </c>
      <c r="K8" s="20">
        <f t="shared" si="6"/>
        <v>25.452881159689252</v>
      </c>
      <c r="L8" s="27">
        <f t="shared" si="7"/>
        <v>28.701076100000002</v>
      </c>
      <c r="M8" s="19">
        <f t="shared" si="8"/>
        <v>382920.64564747369</v>
      </c>
      <c r="N8" s="20">
        <f t="shared" si="9"/>
        <v>5.9418720876332118</v>
      </c>
      <c r="O8" s="27">
        <f t="shared" si="10"/>
        <v>101.38340250000002</v>
      </c>
      <c r="P8" s="19">
        <f t="shared" si="11"/>
        <v>443101.34884209419</v>
      </c>
      <c r="Q8" s="20">
        <f t="shared" si="12"/>
        <v>55.387668605261773</v>
      </c>
      <c r="R8" s="27">
        <f t="shared" si="13"/>
        <v>34.121848499999999</v>
      </c>
      <c r="S8" s="19">
        <f t="shared" si="14"/>
        <v>0</v>
      </c>
      <c r="T8" s="23">
        <f t="shared" si="15"/>
        <v>0</v>
      </c>
      <c r="U8" s="49">
        <f t="shared" si="16"/>
        <v>0</v>
      </c>
      <c r="V8" s="54">
        <v>0.66666666666666663</v>
      </c>
      <c r="W8" s="13">
        <f t="shared" si="17"/>
        <v>1189372.7963101058</v>
      </c>
      <c r="X8" s="25">
        <f t="shared" si="17"/>
        <v>523.68248877233327</v>
      </c>
    </row>
    <row r="9" spans="1:24" x14ac:dyDescent="0.2">
      <c r="A9" s="10">
        <v>6</v>
      </c>
      <c r="B9" s="15">
        <f t="shared" si="18"/>
        <v>965.87815150000006</v>
      </c>
      <c r="C9" s="27">
        <f t="shared" si="19"/>
        <v>606.35500134400013</v>
      </c>
      <c r="D9" s="19">
        <f t="shared" si="2"/>
        <v>0</v>
      </c>
      <c r="E9" s="20">
        <f t="shared" si="1"/>
        <v>677.08369011599495</v>
      </c>
      <c r="F9" s="27" cm="1">
        <f t="array" ref="F9">SUM(pHealthyStage1*C8,(1-SUM(pStage1Remission,pStage1Stage2))*F8,pStage2Stage1*I8,pRemissionStage1_trtB*O8)</f>
        <v>118.52457704500003</v>
      </c>
      <c r="G9" s="19">
        <f t="shared" si="3"/>
        <v>211759.93025125627</v>
      </c>
      <c r="H9" s="20">
        <f t="shared" si="4"/>
        <v>116.46796163819096</v>
      </c>
      <c r="I9" s="27" cm="1">
        <f t="array" ref="I9">SUM(pHealthyStage2*C8,pStage1Stage2*F8,(1-SUM(pStage2Remission, pStage2Stage1, pStage2Stage3))*I8,pStage3Stage2*L8,pRemissionStage2_trtB*O8)</f>
        <v>66.498625164000003</v>
      </c>
      <c r="J9" s="19">
        <f t="shared" si="5"/>
        <v>534638.89599319187</v>
      </c>
      <c r="K9" s="20">
        <f t="shared" si="6"/>
        <v>52.72133557710643</v>
      </c>
      <c r="L9" s="27">
        <f t="shared" si="7"/>
        <v>30.292120437000001</v>
      </c>
      <c r="M9" s="19">
        <f t="shared" si="8"/>
        <v>784753.1147296296</v>
      </c>
      <c r="N9" s="20">
        <f t="shared" si="9"/>
        <v>12.177203504425286</v>
      </c>
      <c r="O9" s="27">
        <f t="shared" si="10"/>
        <v>131.292343265</v>
      </c>
      <c r="P9" s="19">
        <f t="shared" si="11"/>
        <v>1114213.4078097763</v>
      </c>
      <c r="Q9" s="20">
        <f t="shared" si="12"/>
        <v>139.27667597622204</v>
      </c>
      <c r="R9" s="27">
        <f t="shared" si="13"/>
        <v>47.037332745000001</v>
      </c>
      <c r="S9" s="19">
        <f t="shared" si="14"/>
        <v>0</v>
      </c>
      <c r="T9" s="23">
        <f t="shared" si="15"/>
        <v>0</v>
      </c>
      <c r="U9" s="49">
        <f t="shared" si="16"/>
        <v>0</v>
      </c>
      <c r="V9" s="54">
        <v>1.3333333333333333</v>
      </c>
      <c r="W9" s="13">
        <f t="shared" si="17"/>
        <v>2645365.3487838539</v>
      </c>
      <c r="X9" s="25">
        <f t="shared" si="17"/>
        <v>997.72686681193966</v>
      </c>
    </row>
    <row r="10" spans="1:24" x14ac:dyDescent="0.2">
      <c r="A10" s="10">
        <v>7</v>
      </c>
      <c r="B10" s="15">
        <f t="shared" si="18"/>
        <v>952.96266725500016</v>
      </c>
      <c r="C10" s="27">
        <f t="shared" si="19"/>
        <v>557.84660123648018</v>
      </c>
      <c r="D10" s="19">
        <f t="shared" si="2"/>
        <v>0</v>
      </c>
      <c r="E10" s="20">
        <f t="shared" si="1"/>
        <v>302.38689073141524</v>
      </c>
      <c r="F10" s="27" cm="1">
        <f t="array" ref="F10">SUM(pHealthyStage1*C9,(1-SUM(pStage1Remission,pStage1Stage2))*F9,pStage2Stage1*I9,pRemissionStage1_trtB*O9)</f>
        <v>121.18704386585003</v>
      </c>
      <c r="G10" s="19">
        <f t="shared" si="3"/>
        <v>105105.23376225846</v>
      </c>
      <c r="H10" s="20">
        <f t="shared" si="4"/>
        <v>57.807878569242156</v>
      </c>
      <c r="I10" s="27" cm="1">
        <f t="array" ref="I10">SUM(pHealthyStage2*C9,pStage1Stage2*F9,(1-SUM(pStage2Remission, pStage2Stage1, pStage2Stage3))*I9,pStage3Stage2*L9,pRemissionStage2_trtB*O9)</f>
        <v>69.332109149580006</v>
      </c>
      <c r="J10" s="19">
        <f t="shared" si="5"/>
        <v>270592.07718266099</v>
      </c>
      <c r="K10" s="20">
        <f t="shared" si="6"/>
        <v>26.683385388845732</v>
      </c>
      <c r="L10" s="27">
        <f t="shared" si="7"/>
        <v>31.184404006540003</v>
      </c>
      <c r="M10" s="19">
        <f t="shared" si="8"/>
        <v>392169.30737949925</v>
      </c>
      <c r="N10" s="20">
        <f t="shared" si="9"/>
        <v>6.0853858041646429</v>
      </c>
      <c r="O10" s="27">
        <f t="shared" si="10"/>
        <v>159.78105479990001</v>
      </c>
      <c r="P10" s="19">
        <f t="shared" si="11"/>
        <v>658244.20461184857</v>
      </c>
      <c r="Q10" s="20">
        <f t="shared" si="12"/>
        <v>82.280525576481068</v>
      </c>
      <c r="R10" s="27">
        <f t="shared" si="13"/>
        <v>60.668786941649998</v>
      </c>
      <c r="S10" s="19">
        <f t="shared" si="14"/>
        <v>0</v>
      </c>
      <c r="T10" s="23">
        <f t="shared" si="15"/>
        <v>0</v>
      </c>
      <c r="U10" s="49">
        <f t="shared" si="16"/>
        <v>0</v>
      </c>
      <c r="V10" s="54">
        <v>0.66666666666666663</v>
      </c>
      <c r="W10" s="13">
        <f t="shared" si="17"/>
        <v>1426110.8229362674</v>
      </c>
      <c r="X10" s="25">
        <f t="shared" si="17"/>
        <v>475.24406607014885</v>
      </c>
    </row>
    <row r="11" spans="1:24" x14ac:dyDescent="0.2">
      <c r="A11" s="10">
        <v>8</v>
      </c>
      <c r="B11" s="15">
        <f t="shared" si="18"/>
        <v>939.33121305835016</v>
      </c>
      <c r="C11" s="27">
        <f t="shared" si="19"/>
        <v>513.21887313756179</v>
      </c>
      <c r="D11" s="19">
        <f t="shared" si="2"/>
        <v>0</v>
      </c>
      <c r="E11" s="20">
        <f t="shared" si="1"/>
        <v>540.18629023864469</v>
      </c>
      <c r="F11" s="27" cm="1">
        <f t="array" ref="F11">SUM(pHealthyStage1*C10,(1-SUM(pStage1Remission,pStage1Stage2))*F10,pStage2Stage1*I10,pRemissionStage1_trtB*O10)</f>
        <v>122.91299841609754</v>
      </c>
      <c r="G11" s="19">
        <f t="shared" si="3"/>
        <v>206994.46606268064</v>
      </c>
      <c r="H11" s="20">
        <f t="shared" si="4"/>
        <v>113.84695633447436</v>
      </c>
      <c r="I11" s="27" cm="1">
        <f t="array" ref="I11">SUM(pHealthyStage2*C10,pStage1Stage2*F10,(1-SUM(pStage2Remission, pStage2Stage1, pStage2Stage3))*I10,pStage3Stage2*L10,pRemissionStage2_trtB*O10)</f>
        <v>71.227553745386601</v>
      </c>
      <c r="J11" s="19">
        <f t="shared" si="5"/>
        <v>539785.81117632333</v>
      </c>
      <c r="K11" s="20">
        <f t="shared" si="6"/>
        <v>53.228878602109653</v>
      </c>
      <c r="L11" s="27">
        <f t="shared" si="7"/>
        <v>31.570484388071804</v>
      </c>
      <c r="M11" s="19">
        <f t="shared" si="8"/>
        <v>770921.52034509543</v>
      </c>
      <c r="N11" s="20">
        <f t="shared" si="9"/>
        <v>11.962575315699755</v>
      </c>
      <c r="O11" s="27">
        <f t="shared" si="10"/>
        <v>186.3683215682895</v>
      </c>
      <c r="P11" s="19">
        <f t="shared" si="11"/>
        <v>1490824.8568332475</v>
      </c>
      <c r="Q11" s="20">
        <f t="shared" si="12"/>
        <v>186.3531071041559</v>
      </c>
      <c r="R11" s="27">
        <f t="shared" si="13"/>
        <v>74.701768744592997</v>
      </c>
      <c r="S11" s="19">
        <f t="shared" si="14"/>
        <v>0</v>
      </c>
      <c r="T11" s="23">
        <f t="shared" si="15"/>
        <v>0</v>
      </c>
      <c r="U11" s="49">
        <f t="shared" si="16"/>
        <v>0</v>
      </c>
      <c r="V11" s="54">
        <v>1.3333333333333333</v>
      </c>
      <c r="W11" s="13">
        <f t="shared" si="17"/>
        <v>3008526.6544173467</v>
      </c>
      <c r="X11" s="25">
        <f t="shared" si="17"/>
        <v>905.57780759508432</v>
      </c>
    </row>
    <row r="12" spans="1:24" x14ac:dyDescent="0.2">
      <c r="A12" s="10">
        <v>9</v>
      </c>
      <c r="B12" s="15">
        <f t="shared" si="18"/>
        <v>925.29823125540713</v>
      </c>
      <c r="C12" s="27">
        <f t="shared" si="19"/>
        <v>472.16136328655688</v>
      </c>
      <c r="D12" s="19">
        <f t="shared" si="2"/>
        <v>0</v>
      </c>
      <c r="E12" s="20">
        <f t="shared" si="1"/>
        <v>241.2482461259967</v>
      </c>
      <c r="F12" s="27" cm="1">
        <f t="array" ref="F12">SUM(pHealthyStage1*C11,(1-SUM(pStage1Remission,pStage1Stage2))*F11,pStage2Stage1*I11,pRemissionStage1_trtB*O11)</f>
        <v>124.02523604007398</v>
      </c>
      <c r="G12" s="19">
        <f t="shared" si="3"/>
        <v>101392.01720957922</v>
      </c>
      <c r="H12" s="20">
        <f t="shared" si="4"/>
        <v>55.765609465268575</v>
      </c>
      <c r="I12" s="27" cm="1">
        <f t="array" ref="I12">SUM(pHealthyStage2*C11,pStage1Stage2*F11,(1-SUM(pStage2Remission, pStage2Stage1, pStage2Stage3))*I11,pStage3Stage2*L11,pRemissionStage2_trtB*O11)</f>
        <v>72.461783418045229</v>
      </c>
      <c r="J12" s="19">
        <f t="shared" si="5"/>
        <v>266572.43168183917</v>
      </c>
      <c r="K12" s="20">
        <f t="shared" si="6"/>
        <v>26.28700367973692</v>
      </c>
      <c r="L12" s="27">
        <f t="shared" si="7"/>
        <v>31.60156398721951</v>
      </c>
      <c r="M12" s="19">
        <f t="shared" si="8"/>
        <v>374602.1625775742</v>
      </c>
      <c r="N12" s="20">
        <f t="shared" si="9"/>
        <v>5.8127921779278759</v>
      </c>
      <c r="O12" s="27">
        <f t="shared" si="10"/>
        <v>210.84156654887937</v>
      </c>
      <c r="P12" s="19">
        <f t="shared" si="11"/>
        <v>818735.35601479094</v>
      </c>
      <c r="Q12" s="20">
        <f t="shared" si="12"/>
        <v>102.34191950184886</v>
      </c>
      <c r="R12" s="27">
        <f t="shared" si="13"/>
        <v>88.908486719225309</v>
      </c>
      <c r="S12" s="19">
        <f t="shared" si="14"/>
        <v>0</v>
      </c>
      <c r="T12" s="23">
        <f t="shared" si="15"/>
        <v>0</v>
      </c>
      <c r="U12" s="49">
        <f t="shared" si="16"/>
        <v>0</v>
      </c>
      <c r="V12" s="54">
        <v>0.66666666666666663</v>
      </c>
      <c r="W12" s="13">
        <f t="shared" si="17"/>
        <v>1561301.9674837836</v>
      </c>
      <c r="X12" s="25">
        <f t="shared" si="17"/>
        <v>431.45557095077891</v>
      </c>
    </row>
    <row r="13" spans="1:24" x14ac:dyDescent="0.2">
      <c r="A13" s="10">
        <v>10</v>
      </c>
      <c r="B13" s="15">
        <f t="shared" si="18"/>
        <v>911.09151328077496</v>
      </c>
      <c r="C13" s="27">
        <f t="shared" si="19"/>
        <v>434.38845422363232</v>
      </c>
      <c r="D13" s="19">
        <f t="shared" si="2"/>
        <v>0</v>
      </c>
      <c r="E13" s="20">
        <f t="shared" si="1"/>
        <v>430.96774065226595</v>
      </c>
      <c r="F13" s="27" cm="1">
        <f t="array" ref="F13">SUM(pHealthyStage1*C12,(1-SUM(pStage1Remission,pStage1Stage2))*F12,pStage2Stage1*I12,pRemissionStage1_trtB*O12)</f>
        <v>124.71488608518855</v>
      </c>
      <c r="G13" s="19">
        <f t="shared" si="3"/>
        <v>197972.45404379105</v>
      </c>
      <c r="H13" s="20">
        <f t="shared" si="4"/>
        <v>108.88484972408509</v>
      </c>
      <c r="I13" s="27" cm="1">
        <f t="array" ref="I13">SUM(pHealthyStage2*C12,pStage1Stage2*F12,(1-SUM(pStage2Remission, pStage2Stage1, pStage2Stage3))*I12,pStage3Stage2*L12,pRemissionStage2_trtB*O12)</f>
        <v>73.22814611639302</v>
      </c>
      <c r="J13" s="19">
        <f t="shared" si="5"/>
        <v>523090.73207401246</v>
      </c>
      <c r="K13" s="20">
        <f t="shared" si="6"/>
        <v>51.582558301742893</v>
      </c>
      <c r="L13" s="27">
        <f t="shared" si="7"/>
        <v>31.391663139182107</v>
      </c>
      <c r="M13" s="19">
        <f t="shared" si="8"/>
        <v>722551.48809626</v>
      </c>
      <c r="N13" s="20">
        <f t="shared" si="9"/>
        <v>11.212005849769552</v>
      </c>
      <c r="O13" s="27">
        <f t="shared" si="10"/>
        <v>233.14765992213017</v>
      </c>
      <c r="P13" s="19">
        <f t="shared" si="11"/>
        <v>1757968.7175407438</v>
      </c>
      <c r="Q13" s="20">
        <f t="shared" si="12"/>
        <v>219.74608969259299</v>
      </c>
      <c r="R13" s="27">
        <f t="shared" si="13"/>
        <v>103.12919051347409</v>
      </c>
      <c r="S13" s="19">
        <f t="shared" si="14"/>
        <v>0</v>
      </c>
      <c r="T13" s="23">
        <f t="shared" si="15"/>
        <v>0</v>
      </c>
      <c r="U13" s="49">
        <f t="shared" si="16"/>
        <v>0</v>
      </c>
      <c r="V13" s="54">
        <v>1.3333333333333333</v>
      </c>
      <c r="W13" s="13">
        <f t="shared" si="17"/>
        <v>3201583.391754807</v>
      </c>
      <c r="X13" s="25">
        <f t="shared" si="17"/>
        <v>822.39324422045638</v>
      </c>
    </row>
    <row r="14" spans="1:24" x14ac:dyDescent="0.2">
      <c r="A14" s="10">
        <v>11</v>
      </c>
      <c r="B14" s="15">
        <f t="shared" si="18"/>
        <v>896.87080948652613</v>
      </c>
      <c r="C14" s="27">
        <f t="shared" si="19"/>
        <v>399.63737788574173</v>
      </c>
      <c r="D14" s="19">
        <f t="shared" si="2"/>
        <v>0</v>
      </c>
      <c r="E14" s="20">
        <f t="shared" si="1"/>
        <v>192.47102980586635</v>
      </c>
      <c r="F14" s="27" cm="1">
        <f t="array" ref="F14">SUM(pHealthyStage1*C13,(1-SUM(pStage1Remission,pStage1Stage2))*F13,pStage2Stage1*I13,pRemissionStage1_trtB*O13)</f>
        <v>125.09731876614426</v>
      </c>
      <c r="G14" s="19">
        <f t="shared" si="3"/>
        <v>96397.829036928233</v>
      </c>
      <c r="H14" s="20">
        <f t="shared" si="4"/>
        <v>53.018805970310538</v>
      </c>
      <c r="I14" s="27" cm="1">
        <f t="array" ref="I14">SUM(pHealthyStage2*C13,pStage1Stage2*F13,(1-SUM(pStage2Remission, pStage2Stage1, pStage2Stage3))*I13,pStage3Stage2*L13,pRemissionStage2_trtB*O13)</f>
        <v>73.660158317450339</v>
      </c>
      <c r="J14" s="19">
        <f t="shared" si="5"/>
        <v>255425.59490956514</v>
      </c>
      <c r="K14" s="20">
        <f t="shared" si="6"/>
        <v>25.187801720248782</v>
      </c>
      <c r="L14" s="27">
        <f t="shared" si="7"/>
        <v>31.023938029286331</v>
      </c>
      <c r="M14" s="19">
        <f t="shared" si="8"/>
        <v>346644.39177114645</v>
      </c>
      <c r="N14" s="20">
        <f t="shared" si="9"/>
        <v>5.3789646998971001</v>
      </c>
      <c r="O14" s="27">
        <f t="shared" si="10"/>
        <v>253.32576807527158</v>
      </c>
      <c r="P14" s="19">
        <f t="shared" si="11"/>
        <v>927240.15215938503</v>
      </c>
      <c r="Q14" s="20">
        <f t="shared" si="12"/>
        <v>115.90501901992312</v>
      </c>
      <c r="R14" s="27">
        <f t="shared" si="13"/>
        <v>117.25543892610604</v>
      </c>
      <c r="S14" s="19">
        <f t="shared" si="14"/>
        <v>0</v>
      </c>
      <c r="T14" s="23">
        <f t="shared" si="15"/>
        <v>0</v>
      </c>
      <c r="U14" s="49">
        <f t="shared" si="16"/>
        <v>0</v>
      </c>
      <c r="V14" s="54">
        <v>0.66666666666666663</v>
      </c>
      <c r="W14" s="13">
        <f t="shared" si="17"/>
        <v>1625707.9678770248</v>
      </c>
      <c r="X14" s="25">
        <f t="shared" si="17"/>
        <v>391.96162121624593</v>
      </c>
    </row>
    <row r="15" spans="1:24" x14ac:dyDescent="0.2">
      <c r="A15" s="10">
        <v>12</v>
      </c>
      <c r="B15" s="15">
        <f t="shared" si="18"/>
        <v>882.74456107389437</v>
      </c>
      <c r="C15" s="27">
        <f t="shared" si="19"/>
        <v>367.66638765488239</v>
      </c>
      <c r="D15" s="19">
        <f t="shared" si="2"/>
        <v>0</v>
      </c>
      <c r="E15" s="20">
        <f t="shared" si="1"/>
        <v>343.83174256581952</v>
      </c>
      <c r="F15" s="27" cm="1">
        <f t="array" ref="F15">SUM(pHealthyStage1*C14,(1-SUM(pStage1Remission,pStage1Stage2))*F14,pStage2Stage1*I14,pRemissionStage1_trtB*O14)</f>
        <v>125.2441954541751</v>
      </c>
      <c r="G15" s="19">
        <f t="shared" si="3"/>
        <v>187400.01877869788</v>
      </c>
      <c r="H15" s="20">
        <f t="shared" si="4"/>
        <v>103.07001032828386</v>
      </c>
      <c r="I15" s="27" cm="1">
        <f t="array" ref="I15">SUM(pHealthyStage2*C14,pStage1Stage2*F14,(1-SUM(pStage2Remission, pStage2Stage1, pStage2Stage3))*I14,pStage3Stage2*L14,pRemissionStage2_trtB*O14)</f>
        <v>73.849544368521933</v>
      </c>
      <c r="J15" s="19">
        <f t="shared" si="5"/>
        <v>497247.21198239579</v>
      </c>
      <c r="K15" s="20">
        <f t="shared" si="6"/>
        <v>49.034100070486261</v>
      </c>
      <c r="L15" s="27">
        <f t="shared" si="7"/>
        <v>30.557366541118135</v>
      </c>
      <c r="M15" s="19">
        <f t="shared" si="8"/>
        <v>662973.16312004684</v>
      </c>
      <c r="N15" s="20">
        <f t="shared" si="9"/>
        <v>10.287514600138659</v>
      </c>
      <c r="O15" s="27">
        <f t="shared" si="10"/>
        <v>271.46629494201784</v>
      </c>
      <c r="P15" s="19">
        <f t="shared" si="11"/>
        <v>1929396.7738850098</v>
      </c>
      <c r="Q15" s="20">
        <f t="shared" si="12"/>
        <v>241.17459673562621</v>
      </c>
      <c r="R15" s="27">
        <f t="shared" si="13"/>
        <v>131.2162110392849</v>
      </c>
      <c r="S15" s="19">
        <f t="shared" si="14"/>
        <v>0</v>
      </c>
      <c r="T15" s="23">
        <f t="shared" si="15"/>
        <v>0</v>
      </c>
      <c r="U15" s="49">
        <f t="shared" si="16"/>
        <v>0</v>
      </c>
      <c r="V15" s="54">
        <v>1.3333333333333333</v>
      </c>
      <c r="W15" s="13">
        <f t="shared" si="17"/>
        <v>3277017.1677661501</v>
      </c>
      <c r="X15" s="25">
        <f t="shared" si="17"/>
        <v>747.39796430035449</v>
      </c>
    </row>
    <row r="16" spans="1:24" x14ac:dyDescent="0.2">
      <c r="A16" s="10">
        <v>13</v>
      </c>
      <c r="B16" s="15">
        <f t="shared" si="18"/>
        <v>868.78378896071536</v>
      </c>
      <c r="C16" s="27">
        <f t="shared" si="19"/>
        <v>338.25307664249181</v>
      </c>
      <c r="D16" s="19">
        <f t="shared" si="2"/>
        <v>0</v>
      </c>
      <c r="E16" s="20">
        <f t="shared" si="1"/>
        <v>153.5559238643466</v>
      </c>
      <c r="F16" s="27" cm="1">
        <f t="array" ref="F16">SUM(pHealthyStage1*C15,(1-SUM(pStage1Remission,pStage1Stage2))*F15,pStage2Stage1*I15,pRemissionStage1_trtB*O15)</f>
        <v>125.20182724174546</v>
      </c>
      <c r="G16" s="19">
        <f t="shared" si="3"/>
        <v>90940.10883185167</v>
      </c>
      <c r="H16" s="20">
        <f t="shared" si="4"/>
        <v>50.017059857518419</v>
      </c>
      <c r="I16" s="27" cm="1">
        <f t="array" ref="I16">SUM(pHealthyStage2*C15,pStage1Stage2*F15,(1-SUM(pStage2Remission, pStage2Stage1, pStage2Stage3))*I15,pStage3Stage2*L15,pRemissionStage2_trtB*O15)</f>
        <v>73.859331094944764</v>
      </c>
      <c r="J16" s="19">
        <f t="shared" si="5"/>
        <v>241414.13030449164</v>
      </c>
      <c r="K16" s="20">
        <f t="shared" si="6"/>
        <v>23.806115627248481</v>
      </c>
      <c r="L16" s="27">
        <f t="shared" si="7"/>
        <v>30.032778802386183</v>
      </c>
      <c r="M16" s="19">
        <f t="shared" si="8"/>
        <v>316306.6496570154</v>
      </c>
      <c r="N16" s="20">
        <f t="shared" si="9"/>
        <v>4.9082066326088585</v>
      </c>
      <c r="O16" s="27">
        <f t="shared" si="10"/>
        <v>287.68596023564407</v>
      </c>
      <c r="P16" s="19">
        <f t="shared" si="11"/>
        <v>992560.70993974188</v>
      </c>
      <c r="Q16" s="20">
        <f t="shared" si="12"/>
        <v>124.07008874246775</v>
      </c>
      <c r="R16" s="27">
        <f t="shared" si="13"/>
        <v>144.96702598278807</v>
      </c>
      <c r="S16" s="19">
        <f t="shared" si="14"/>
        <v>0</v>
      </c>
      <c r="T16" s="23">
        <f t="shared" si="15"/>
        <v>0</v>
      </c>
      <c r="U16" s="49">
        <f t="shared" si="16"/>
        <v>0</v>
      </c>
      <c r="V16" s="54">
        <v>0.66666666666666663</v>
      </c>
      <c r="W16" s="13">
        <f t="shared" si="17"/>
        <v>1641221.5987331006</v>
      </c>
      <c r="X16" s="25">
        <f t="shared" si="17"/>
        <v>356.3573947241901</v>
      </c>
    </row>
    <row r="17" spans="1:24" x14ac:dyDescent="0.2">
      <c r="A17" s="10">
        <v>14</v>
      </c>
      <c r="B17" s="15">
        <f t="shared" si="18"/>
        <v>855.03297401721227</v>
      </c>
      <c r="C17" s="27">
        <f t="shared" si="19"/>
        <v>311.1928305110925</v>
      </c>
      <c r="D17" s="19">
        <f t="shared" si="2"/>
        <v>0</v>
      </c>
      <c r="E17" s="20">
        <f t="shared" si="1"/>
        <v>274.31349505863858</v>
      </c>
      <c r="F17" s="27" cm="1">
        <f t="array" ref="F17">SUM(pHealthyStage1*C16,(1-SUM(pStage1Remission,pStage1Stage2))*F16,pStage2Stage1*I16,pRemissionStage1_trtB*O16)</f>
        <v>125.00168491285791</v>
      </c>
      <c r="G17" s="19">
        <f t="shared" si="3"/>
        <v>176300.45792686721</v>
      </c>
      <c r="H17" s="20">
        <f t="shared" si="4"/>
        <v>96.965251859776984</v>
      </c>
      <c r="I17" s="27" cm="1">
        <f t="array" ref="I17">SUM(pHealthyStage2*C16,pStage1Stage2*F16,(1-SUM(pStage2Remission, pStage2Stage1, pStage2Stage3))*I16,pStage3Stage2*L16,pRemissionStage2_trtB*O16)</f>
        <v>73.733060661179877</v>
      </c>
      <c r="J17" s="19">
        <f t="shared" si="5"/>
        <v>467963.89709385979</v>
      </c>
      <c r="K17" s="20">
        <f t="shared" si="6"/>
        <v>46.146439852311168</v>
      </c>
      <c r="L17" s="27">
        <f t="shared" si="7"/>
        <v>29.477819831859723</v>
      </c>
      <c r="M17" s="19">
        <f t="shared" si="8"/>
        <v>602838.43782305578</v>
      </c>
      <c r="N17" s="20">
        <f t="shared" si="9"/>
        <v>9.354389552426726</v>
      </c>
      <c r="O17" s="27">
        <f t="shared" si="10"/>
        <v>302.11282763914858</v>
      </c>
      <c r="P17" s="19">
        <f t="shared" si="11"/>
        <v>2023952.6531469866</v>
      </c>
      <c r="Q17" s="20">
        <f t="shared" si="12"/>
        <v>252.99408164337325</v>
      </c>
      <c r="R17" s="27">
        <f t="shared" si="13"/>
        <v>158.48177644386186</v>
      </c>
      <c r="S17" s="19">
        <f t="shared" si="14"/>
        <v>0</v>
      </c>
      <c r="T17" s="23">
        <f t="shared" si="15"/>
        <v>0</v>
      </c>
      <c r="U17" s="49">
        <f t="shared" si="16"/>
        <v>0</v>
      </c>
      <c r="V17" s="54">
        <v>1.3333333333333333</v>
      </c>
      <c r="W17" s="13">
        <f t="shared" si="17"/>
        <v>3271055.4459907692</v>
      </c>
      <c r="X17" s="25">
        <f t="shared" si="17"/>
        <v>679.77365796652668</v>
      </c>
    </row>
    <row r="18" spans="1:24" x14ac:dyDescent="0.2">
      <c r="A18" s="10">
        <v>15</v>
      </c>
      <c r="B18" s="15">
        <f t="shared" si="18"/>
        <v>841.51822355613854</v>
      </c>
      <c r="C18" s="27">
        <f t="shared" si="19"/>
        <v>286.29740407020512</v>
      </c>
      <c r="D18" s="19">
        <f t="shared" si="2"/>
        <v>0</v>
      </c>
      <c r="E18" s="20">
        <f t="shared" si="1"/>
        <v>122.5089395407512</v>
      </c>
      <c r="F18" s="27" cm="1">
        <f t="array" ref="F18">SUM(pHealthyStage1*C17,(1-SUM(pStage1Remission,pStage1Stage2))*F17,pStage2Stage1*I17,pRemissionStage1_trtB*O17)</f>
        <v>124.66641596310313</v>
      </c>
      <c r="G18" s="19">
        <f t="shared" si="3"/>
        <v>85353.203760049728</v>
      </c>
      <c r="H18" s="20">
        <f t="shared" si="4"/>
        <v>46.944262068027349</v>
      </c>
      <c r="I18" s="27" cm="1">
        <f t="array" ref="I18">SUM(pHealthyStage2*C17,pStage1Stage2*F17,(1-SUM(pStage2Remission, pStage2Stage1, pStage2Stage3))*I17,pStage3Stage2*L17,pRemissionStage2_trtB*O17)</f>
        <v>73.501137318982998</v>
      </c>
      <c r="J18" s="19">
        <f t="shared" si="5"/>
        <v>226452.39905009273</v>
      </c>
      <c r="K18" s="20">
        <f t="shared" si="6"/>
        <v>22.330722684106366</v>
      </c>
      <c r="L18" s="27">
        <f t="shared" si="7"/>
        <v>28.910797320217767</v>
      </c>
      <c r="M18" s="19">
        <f t="shared" si="8"/>
        <v>287010.92234328354</v>
      </c>
      <c r="N18" s="20">
        <f t="shared" si="9"/>
        <v>4.4536177604992275</v>
      </c>
      <c r="O18" s="27">
        <f t="shared" si="10"/>
        <v>314.87744995929273</v>
      </c>
      <c r="P18" s="19">
        <f t="shared" si="11"/>
        <v>1024013.1229923997</v>
      </c>
      <c r="Q18" s="20">
        <f t="shared" si="12"/>
        <v>128.00164037404994</v>
      </c>
      <c r="R18" s="27">
        <f t="shared" si="13"/>
        <v>171.74679536819875</v>
      </c>
      <c r="S18" s="19">
        <f t="shared" si="14"/>
        <v>0</v>
      </c>
      <c r="T18" s="23">
        <f t="shared" si="15"/>
        <v>0</v>
      </c>
      <c r="U18" s="49">
        <f t="shared" si="16"/>
        <v>0</v>
      </c>
      <c r="V18" s="54">
        <v>0.66666666666666663</v>
      </c>
      <c r="W18" s="13">
        <f t="shared" si="17"/>
        <v>1622829.6481458256</v>
      </c>
      <c r="X18" s="25">
        <f t="shared" si="17"/>
        <v>324.23918242743412</v>
      </c>
    </row>
    <row r="19" spans="1:24" x14ac:dyDescent="0.2">
      <c r="A19" s="10">
        <v>16</v>
      </c>
      <c r="B19" s="15">
        <f t="shared" si="18"/>
        <v>828.25320463180174</v>
      </c>
      <c r="C19" s="27">
        <f t="shared" si="19"/>
        <v>263.39361174458872</v>
      </c>
      <c r="D19" s="19">
        <f t="shared" si="2"/>
        <v>0</v>
      </c>
      <c r="E19" s="20">
        <f t="shared" si="1"/>
        <v>218.850921121342</v>
      </c>
      <c r="F19" s="27" cm="1">
        <f t="array" ref="F19">SUM(pHealthyStage1*C18,(1-SUM(pStage1Remission,pStage1Stage2))*F18,pStage2Stage1*I18,pRemissionStage1_trtB*O18)</f>
        <v>124.21329344221985</v>
      </c>
      <c r="G19" s="19">
        <f t="shared" si="3"/>
        <v>165131.98482098783</v>
      </c>
      <c r="H19" s="20">
        <f t="shared" si="4"/>
        <v>90.822591651543306</v>
      </c>
      <c r="I19" s="27" cm="1">
        <f t="array" ref="I19">SUM(pHealthyStage2*C18,pStage1Stage2*F18,(1-SUM(pStage2Remission, pStage2Stage1, pStage2Stage3))*I18,pStage3Stage2*L18,pRemissionStage2_trtB*O18)</f>
        <v>73.18513543389389</v>
      </c>
      <c r="J19" s="19">
        <f t="shared" si="5"/>
        <v>437822.9457095922</v>
      </c>
      <c r="K19" s="20">
        <f t="shared" si="6"/>
        <v>43.174207146362569</v>
      </c>
      <c r="L19" s="27">
        <f t="shared" si="7"/>
        <v>28.343543298658382</v>
      </c>
      <c r="M19" s="19">
        <f t="shared" si="8"/>
        <v>546368.01557147107</v>
      </c>
      <c r="N19" s="20">
        <f t="shared" si="9"/>
        <v>8.4781243795573094</v>
      </c>
      <c r="O19" s="27">
        <f t="shared" si="10"/>
        <v>326.10776191834293</v>
      </c>
      <c r="P19" s="19">
        <f t="shared" si="11"/>
        <v>2059291.7019524986</v>
      </c>
      <c r="Q19" s="20">
        <f t="shared" si="12"/>
        <v>257.41146274406231</v>
      </c>
      <c r="R19" s="27">
        <f t="shared" si="13"/>
        <v>184.75665416229674</v>
      </c>
      <c r="S19" s="19">
        <f t="shared" si="14"/>
        <v>0</v>
      </c>
      <c r="T19" s="23">
        <f t="shared" si="15"/>
        <v>0</v>
      </c>
      <c r="U19" s="49">
        <f t="shared" si="16"/>
        <v>0</v>
      </c>
      <c r="V19" s="54">
        <v>1.3333333333333333</v>
      </c>
      <c r="W19" s="13">
        <f t="shared" si="17"/>
        <v>3208614.6480545495</v>
      </c>
      <c r="X19" s="25">
        <f t="shared" si="17"/>
        <v>618.73730704286754</v>
      </c>
    </row>
    <row r="20" spans="1:24" x14ac:dyDescent="0.2">
      <c r="A20" s="10">
        <v>17</v>
      </c>
      <c r="B20" s="15">
        <f t="shared" si="18"/>
        <v>815.24334583770383</v>
      </c>
      <c r="C20" s="27">
        <f t="shared" si="19"/>
        <v>242.32212280502165</v>
      </c>
      <c r="D20" s="19">
        <f t="shared" si="2"/>
        <v>0</v>
      </c>
      <c r="E20" s="20">
        <f t="shared" si="1"/>
        <v>97.739246326036238</v>
      </c>
      <c r="F20" s="27" cm="1">
        <f t="array" ref="F20">SUM(pHealthyStage1*C19,(1-SUM(pStage1Remission,pStage1Stage2))*F19,pStage2Stage1*I19,pRemissionStage1_trtB*O19)</f>
        <v>123.65619904983447</v>
      </c>
      <c r="G20" s="19">
        <f t="shared" si="3"/>
        <v>79801.636326191379</v>
      </c>
      <c r="H20" s="20">
        <f t="shared" si="4"/>
        <v>43.890899979405262</v>
      </c>
      <c r="I20" s="27" cm="1">
        <f t="array" ref="I20">SUM(pHealthyStage2*C19,pStage1Stage2*F19,(1-SUM(pStage2Remission, pStage2Stage1, pStage2Stage3))*I19,pStage3Stage2*L19,pRemissionStage2_trtB*O19)</f>
        <v>72.800692861933285</v>
      </c>
      <c r="J20" s="19">
        <f t="shared" si="5"/>
        <v>211418.95896174564</v>
      </c>
      <c r="K20" s="20">
        <f t="shared" si="6"/>
        <v>20.848258453172143</v>
      </c>
      <c r="L20" s="27">
        <f t="shared" si="7"/>
        <v>27.783478081859162</v>
      </c>
      <c r="M20" s="19">
        <f t="shared" si="8"/>
        <v>259986.33264345783</v>
      </c>
      <c r="N20" s="20">
        <f t="shared" si="9"/>
        <v>4.0342706789502074</v>
      </c>
      <c r="O20" s="27">
        <f t="shared" si="10"/>
        <v>335.92625855465894</v>
      </c>
      <c r="P20" s="19">
        <f t="shared" si="11"/>
        <v>1029753.9491511352</v>
      </c>
      <c r="Q20" s="20">
        <f t="shared" si="12"/>
        <v>128.7192436438919</v>
      </c>
      <c r="R20" s="27">
        <f t="shared" si="13"/>
        <v>197.51124864669302</v>
      </c>
      <c r="S20" s="19">
        <f t="shared" si="14"/>
        <v>0</v>
      </c>
      <c r="T20" s="23">
        <f t="shared" si="15"/>
        <v>0</v>
      </c>
      <c r="U20" s="49">
        <f t="shared" si="16"/>
        <v>0</v>
      </c>
      <c r="V20" s="54">
        <v>0.66666666666666663</v>
      </c>
      <c r="W20" s="13">
        <f t="shared" si="17"/>
        <v>1580960.8770825299</v>
      </c>
      <c r="X20" s="25">
        <f t="shared" si="17"/>
        <v>295.23191908145577</v>
      </c>
    </row>
    <row r="21" spans="1:24" x14ac:dyDescent="0.2">
      <c r="A21" s="10">
        <v>18</v>
      </c>
      <c r="B21" s="15">
        <f t="shared" si="18"/>
        <v>802.48875135330752</v>
      </c>
      <c r="C21" s="27">
        <f t="shared" si="19"/>
        <v>222.93635298061992</v>
      </c>
      <c r="D21" s="19">
        <f t="shared" si="2"/>
        <v>0</v>
      </c>
      <c r="E21" s="20">
        <f t="shared" si="1"/>
        <v>174.60214877660846</v>
      </c>
      <c r="F21" s="27" cm="1">
        <f t="array" ref="F21">SUM(pHealthyStage1*C20,(1-SUM(pStage1Remission,pStage1Stage2))*F20,pStage2Stage1*I20,pRemissionStage1_trtB*O20)</f>
        <v>123.00677085011289</v>
      </c>
      <c r="G21" s="19">
        <f t="shared" si="3"/>
        <v>154140.82964831585</v>
      </c>
      <c r="H21" s="20">
        <f t="shared" si="4"/>
        <v>84.777456306573711</v>
      </c>
      <c r="I21" s="27" cm="1">
        <f t="array" ref="I21">SUM(pHealthyStage2*C20,pStage1Stage2*F20,(1-SUM(pStage2Remission, pStage2Stage1, pStage2Stage3))*I20,pStage3Stage2*L20,pRemissionStage2_trtB*O20)</f>
        <v>72.359439738976576</v>
      </c>
      <c r="J21" s="19">
        <f t="shared" si="5"/>
        <v>408034.02924297797</v>
      </c>
      <c r="K21" s="20">
        <f t="shared" si="6"/>
        <v>40.236688994793653</v>
      </c>
      <c r="L21" s="27">
        <f t="shared" si="7"/>
        <v>27.235064198269789</v>
      </c>
      <c r="M21" s="19">
        <f t="shared" si="8"/>
        <v>494863.10996934574</v>
      </c>
      <c r="N21" s="20">
        <f t="shared" si="9"/>
        <v>7.678910327110537</v>
      </c>
      <c r="O21" s="27">
        <f t="shared" si="10"/>
        <v>344.44855844849172</v>
      </c>
      <c r="P21" s="19">
        <f t="shared" si="11"/>
        <v>2050249.221782973</v>
      </c>
      <c r="Q21" s="20">
        <f t="shared" si="12"/>
        <v>256.28115272287158</v>
      </c>
      <c r="R21" s="27">
        <f t="shared" si="13"/>
        <v>210.01381378352966</v>
      </c>
      <c r="S21" s="19">
        <f t="shared" si="14"/>
        <v>0</v>
      </c>
      <c r="T21" s="23">
        <f t="shared" si="15"/>
        <v>0</v>
      </c>
      <c r="U21" s="49">
        <f t="shared" si="16"/>
        <v>0</v>
      </c>
      <c r="V21" s="54">
        <v>1.3333333333333333</v>
      </c>
      <c r="W21" s="13">
        <f t="shared" si="17"/>
        <v>3107287.1906436128</v>
      </c>
      <c r="X21" s="25">
        <f t="shared" si="17"/>
        <v>563.57635712795798</v>
      </c>
    </row>
    <row r="22" spans="1:24" x14ac:dyDescent="0.2">
      <c r="A22" s="10">
        <v>19</v>
      </c>
      <c r="B22" s="15">
        <f t="shared" si="18"/>
        <v>789.98618621647097</v>
      </c>
      <c r="C22" s="27">
        <f t="shared" si="19"/>
        <v>205.10144474217034</v>
      </c>
      <c r="D22" s="19">
        <f t="shared" si="2"/>
        <v>0</v>
      </c>
      <c r="E22" s="20">
        <f t="shared" si="1"/>
        <v>77.977658676931924</v>
      </c>
      <c r="F22" s="27" cm="1">
        <f t="array" ref="F22">SUM(pHealthyStage1*C21,(1-SUM(pStage1Remission,pStage1Stage2))*F21,pStage2Stage1*I21,pRemissionStage1_trtB*O21)</f>
        <v>122.27507536443254</v>
      </c>
      <c r="G22" s="19">
        <f t="shared" si="3"/>
        <v>74380.551368224988</v>
      </c>
      <c r="H22" s="20">
        <f t="shared" si="4"/>
        <v>40.909303252523735</v>
      </c>
      <c r="I22" s="27" cm="1">
        <f t="array" ref="I22">SUM(pHealthyStage2*C21,pStage1Stage2*F21,(1-SUM(pStage2Remission, pStage2Stage1, pStage2Stage3))*I21,pStage3Stage2*L21,pRemissionStage2_trtB*O21)</f>
        <v>71.870277951377872</v>
      </c>
      <c r="J22" s="19">
        <f t="shared" si="5"/>
        <v>196735.75324204791</v>
      </c>
      <c r="K22" s="20">
        <f t="shared" si="6"/>
        <v>19.400331222479725</v>
      </c>
      <c r="L22" s="27">
        <f t="shared" si="7"/>
        <v>26.70081158978758</v>
      </c>
      <c r="M22" s="19">
        <f t="shared" si="8"/>
        <v>235512.47619819679</v>
      </c>
      <c r="N22" s="20">
        <f t="shared" si="9"/>
        <v>3.6545039410065012</v>
      </c>
      <c r="O22" s="27">
        <f t="shared" si="10"/>
        <v>351.78279767948118</v>
      </c>
      <c r="P22" s="19">
        <f t="shared" si="11"/>
        <v>1016458.5242130338</v>
      </c>
      <c r="Q22" s="20">
        <f t="shared" si="12"/>
        <v>127.05731552662922</v>
      </c>
      <c r="R22" s="27">
        <f t="shared" si="13"/>
        <v>222.26959267275106</v>
      </c>
      <c r="S22" s="19">
        <f t="shared" si="14"/>
        <v>0</v>
      </c>
      <c r="T22" s="23">
        <f t="shared" si="15"/>
        <v>0</v>
      </c>
      <c r="U22" s="49">
        <f t="shared" si="16"/>
        <v>0</v>
      </c>
      <c r="V22" s="54">
        <v>0.66666666666666663</v>
      </c>
      <c r="W22" s="13">
        <f t="shared" si="17"/>
        <v>1523087.3050215035</v>
      </c>
      <c r="X22" s="25">
        <f t="shared" si="17"/>
        <v>268.99911261957112</v>
      </c>
    </row>
    <row r="23" spans="1:24" x14ac:dyDescent="0.2">
      <c r="A23" s="10">
        <v>20</v>
      </c>
      <c r="B23" s="15">
        <f t="shared" si="18"/>
        <v>777.73040732724951</v>
      </c>
      <c r="C23" s="27">
        <f t="shared" si="19"/>
        <v>188.69332916279672</v>
      </c>
      <c r="D23" s="19">
        <f t="shared" si="2"/>
        <v>0</v>
      </c>
      <c r="E23" s="20">
        <f t="shared" si="1"/>
        <v>139.29989511218909</v>
      </c>
      <c r="F23" s="27" cm="1">
        <f t="array" ref="F23">SUM(pHealthyStage1*C22,(1-SUM(pStage1Remission,pStage1Stage2))*F22,pStage2Stage1*I22,pRemissionStage1_trtB*O22)</f>
        <v>121.47000893591706</v>
      </c>
      <c r="G23" s="19">
        <f t="shared" si="3"/>
        <v>143477.33079171143</v>
      </c>
      <c r="H23" s="20">
        <f t="shared" si="4"/>
        <v>78.912531935441265</v>
      </c>
      <c r="I23" s="27" cm="1">
        <f t="array" ref="I23">SUM(pHealthyStage2*C22,pStage1Stage2*F22,(1-SUM(pStage2Remission, pStage2Stage1, pStage2Stage3))*I22,pStage3Stage2*L22,pRemissionStage2_trtB*O22)</f>
        <v>71.340227711987197</v>
      </c>
      <c r="J23" s="19">
        <f t="shared" si="5"/>
        <v>379193.80206969008</v>
      </c>
      <c r="K23" s="20">
        <f t="shared" si="6"/>
        <v>37.39272214853888</v>
      </c>
      <c r="L23" s="27">
        <f t="shared" si="7"/>
        <v>26.181961935022173</v>
      </c>
      <c r="M23" s="19">
        <f t="shared" si="8"/>
        <v>448419.4219659607</v>
      </c>
      <c r="N23" s="20">
        <f t="shared" si="9"/>
        <v>6.9582324098166302</v>
      </c>
      <c r="O23" s="27">
        <f t="shared" si="10"/>
        <v>358.02951436612199</v>
      </c>
      <c r="P23" s="19">
        <f t="shared" si="11"/>
        <v>2008753.5820613154</v>
      </c>
      <c r="Q23" s="20">
        <f t="shared" si="12"/>
        <v>251.09419775766443</v>
      </c>
      <c r="R23" s="27">
        <f t="shared" si="13"/>
        <v>234.28495788815547</v>
      </c>
      <c r="S23" s="19">
        <f t="shared" si="14"/>
        <v>0</v>
      </c>
      <c r="T23" s="23">
        <f t="shared" si="15"/>
        <v>0</v>
      </c>
      <c r="U23" s="49">
        <f t="shared" si="16"/>
        <v>0</v>
      </c>
      <c r="V23" s="54">
        <v>1.3333333333333333</v>
      </c>
      <c r="W23" s="13">
        <f t="shared" si="17"/>
        <v>2979844.1368886777</v>
      </c>
      <c r="X23" s="25">
        <f t="shared" si="17"/>
        <v>513.65757936365026</v>
      </c>
    </row>
    <row r="24" spans="1:24" x14ac:dyDescent="0.2">
      <c r="A24" s="10">
        <v>21</v>
      </c>
      <c r="B24" s="15">
        <f t="shared" si="18"/>
        <v>765.71504211184515</v>
      </c>
      <c r="C24" s="27">
        <f t="shared" si="19"/>
        <v>173.59786282977299</v>
      </c>
      <c r="D24" s="19">
        <f t="shared" si="2"/>
        <v>0</v>
      </c>
      <c r="E24" s="20">
        <f t="shared" si="1"/>
        <v>62.21160364233689</v>
      </c>
      <c r="F24" s="27" cm="1">
        <f t="array" ref="F24">SUM(pHealthyStage1*C23,(1-SUM(pStage1Remission,pStage1Stage2))*F23,pStage2Stage1*I23,pRemissionStage1_trtB*O23)</f>
        <v>120.59954480137503</v>
      </c>
      <c r="G24" s="19">
        <f t="shared" si="3"/>
        <v>69150.077848471221</v>
      </c>
      <c r="H24" s="20">
        <f t="shared" si="4"/>
        <v>38.032542816659166</v>
      </c>
      <c r="I24" s="27" cm="1">
        <f t="array" ref="I24">SUM(pHealthyStage2*C23,pStage1Stage2*F23,(1-SUM(pStage2Remission, pStage2Stage1, pStage2Stage3))*I23,pStage3Stage2*L23,pRemissionStage2_trtB*O23)</f>
        <v>70.774987631774721</v>
      </c>
      <c r="J24" s="19">
        <f t="shared" si="5"/>
        <v>182616.20809888031</v>
      </c>
      <c r="K24" s="20">
        <f t="shared" si="6"/>
        <v>18.007987187528474</v>
      </c>
      <c r="L24" s="27">
        <f t="shared" si="7"/>
        <v>25.678948415937132</v>
      </c>
      <c r="M24" s="19">
        <f t="shared" si="8"/>
        <v>213497.22863237467</v>
      </c>
      <c r="N24" s="20">
        <f t="shared" si="9"/>
        <v>3.3128880305023647</v>
      </c>
      <c r="O24" s="27">
        <f t="shared" si="10"/>
        <v>363.28181556222529</v>
      </c>
      <c r="P24" s="19">
        <f t="shared" si="11"/>
        <v>989428.17632578046</v>
      </c>
      <c r="Q24" s="20">
        <f t="shared" si="12"/>
        <v>123.67852204072254</v>
      </c>
      <c r="R24" s="27">
        <f t="shared" si="13"/>
        <v>246.06684075891545</v>
      </c>
      <c r="S24" s="19">
        <f t="shared" si="14"/>
        <v>0</v>
      </c>
      <c r="T24" s="23">
        <f t="shared" si="15"/>
        <v>0</v>
      </c>
      <c r="U24" s="49">
        <f t="shared" si="16"/>
        <v>0</v>
      </c>
      <c r="V24" s="54">
        <v>0.66666666666666663</v>
      </c>
      <c r="W24" s="13">
        <f t="shared" si="17"/>
        <v>1454691.6909055067</v>
      </c>
      <c r="X24" s="25">
        <f t="shared" si="17"/>
        <v>245.24354371774945</v>
      </c>
    </row>
    <row r="25" spans="1:24" x14ac:dyDescent="0.2">
      <c r="A25" s="10">
        <v>22</v>
      </c>
      <c r="B25" s="15">
        <f t="shared" si="18"/>
        <v>753.93315924108515</v>
      </c>
      <c r="C25" s="27">
        <f t="shared" si="19"/>
        <v>159.71003380339116</v>
      </c>
      <c r="D25" s="19">
        <f t="shared" si="2"/>
        <v>0</v>
      </c>
      <c r="E25" s="20">
        <f t="shared" si="1"/>
        <v>111.13529194359209</v>
      </c>
      <c r="F25" s="27" cm="1">
        <f t="array" ref="F25">SUM(pHealthyStage1*C24,(1-SUM(pStage1Remission,pStage1Stage2))*F24,pStage2Stage1*I24,pRemissionStage1_trtB*O24)</f>
        <v>119.67089188894917</v>
      </c>
      <c r="G25" s="19">
        <f t="shared" si="3"/>
        <v>133238.06090831617</v>
      </c>
      <c r="H25" s="20">
        <f t="shared" si="4"/>
        <v>73.280933499573891</v>
      </c>
      <c r="I25" s="27" cm="1">
        <f t="array" ref="I25">SUM(pHealthyStage2*C24,pStage1Stage2*F24,(1-SUM(pStage2Remission, pStage2Stage1, pStage2Stage3))*I24,pStage3Stage2*L24,pRemissionStage2_trtB*O24)</f>
        <v>70.179306203461408</v>
      </c>
      <c r="J25" s="19">
        <f t="shared" si="5"/>
        <v>351610.11479740054</v>
      </c>
      <c r="K25" s="20">
        <f t="shared" si="6"/>
        <v>34.672664098076993</v>
      </c>
      <c r="L25" s="27">
        <f t="shared" si="7"/>
        <v>25.191700981032504</v>
      </c>
      <c r="M25" s="19">
        <f t="shared" si="8"/>
        <v>406691.66396569886</v>
      </c>
      <c r="N25" s="20">
        <f t="shared" si="9"/>
        <v>6.3107327167091212</v>
      </c>
      <c r="O25" s="27">
        <f t="shared" si="10"/>
        <v>367.62569957707922</v>
      </c>
      <c r="P25" s="19">
        <f t="shared" si="11"/>
        <v>1944192.4368420516</v>
      </c>
      <c r="Q25" s="20">
        <f t="shared" si="12"/>
        <v>243.02405460525645</v>
      </c>
      <c r="R25" s="27">
        <f t="shared" si="13"/>
        <v>257.62236754608716</v>
      </c>
      <c r="S25" s="19">
        <f t="shared" si="14"/>
        <v>0</v>
      </c>
      <c r="T25" s="23">
        <f t="shared" si="15"/>
        <v>0</v>
      </c>
      <c r="U25" s="49">
        <f t="shared" si="16"/>
        <v>0</v>
      </c>
      <c r="V25" s="54">
        <v>1.3333333333333333</v>
      </c>
      <c r="W25" s="13">
        <f t="shared" si="17"/>
        <v>2835732.2765134671</v>
      </c>
      <c r="X25" s="25">
        <f t="shared" si="17"/>
        <v>468.42367686320853</v>
      </c>
    </row>
    <row r="26" spans="1:24" x14ac:dyDescent="0.2">
      <c r="A26" s="10">
        <v>23</v>
      </c>
      <c r="B26" s="15">
        <f t="shared" si="18"/>
        <v>742.37763245391352</v>
      </c>
      <c r="C26" s="27">
        <f t="shared" si="19"/>
        <v>146.93323109911987</v>
      </c>
      <c r="D26" s="19">
        <f t="shared" si="2"/>
        <v>0</v>
      </c>
      <c r="E26" s="20">
        <f t="shared" si="1"/>
        <v>49.633237178691623</v>
      </c>
      <c r="F26" s="27" cm="1">
        <f t="array" ref="F26">SUM(pHealthyStage1*C25,(1-SUM(pStage1Remission,pStage1Stage2))*F25,pStage2Stage1*I25,pRemissionStage1_trtB*O25)</f>
        <v>118.69060269432593</v>
      </c>
      <c r="G26" s="19">
        <f t="shared" si="3"/>
        <v>64148.852268119714</v>
      </c>
      <c r="H26" s="20">
        <f t="shared" si="4"/>
        <v>35.281868747465843</v>
      </c>
      <c r="I26" s="27" cm="1">
        <f t="array" ref="I26">SUM(pHealthyStage2*C25,pStage1Stage2*F25,(1-SUM(pStage2Remission, pStage2Stage1, pStage2Stage3))*I25,pStage3Stage2*L25,pRemissionStage2_trtB*O25)</f>
        <v>69.557229623403586</v>
      </c>
      <c r="J26" s="19">
        <f t="shared" si="5"/>
        <v>169171.55661027893</v>
      </c>
      <c r="K26" s="20">
        <f t="shared" si="6"/>
        <v>16.682195165735841</v>
      </c>
      <c r="L26" s="27">
        <f t="shared" si="7"/>
        <v>24.719846759069377</v>
      </c>
      <c r="M26" s="19">
        <f t="shared" si="8"/>
        <v>193725.29540412934</v>
      </c>
      <c r="N26" s="20">
        <f t="shared" si="9"/>
        <v>3.0060821700640759</v>
      </c>
      <c r="O26" s="27">
        <f t="shared" si="10"/>
        <v>371.14045683653006</v>
      </c>
      <c r="P26" s="19">
        <f t="shared" si="11"/>
        <v>952805.95540331828</v>
      </c>
      <c r="Q26" s="20">
        <f t="shared" si="12"/>
        <v>119.10074442541479</v>
      </c>
      <c r="R26" s="27">
        <f t="shared" si="13"/>
        <v>268.95863298755177</v>
      </c>
      <c r="S26" s="19">
        <f t="shared" si="14"/>
        <v>0</v>
      </c>
      <c r="T26" s="23">
        <f t="shared" si="15"/>
        <v>0</v>
      </c>
      <c r="U26" s="49">
        <f t="shared" si="16"/>
        <v>0</v>
      </c>
      <c r="V26" s="54">
        <v>0.66666666666666663</v>
      </c>
      <c r="W26" s="13">
        <f t="shared" si="17"/>
        <v>1379851.6596858464</v>
      </c>
      <c r="X26" s="25">
        <f t="shared" si="17"/>
        <v>223.70412768737219</v>
      </c>
    </row>
    <row r="27" spans="1:24" x14ac:dyDescent="0.2">
      <c r="A27" s="10">
        <v>24</v>
      </c>
      <c r="B27" s="15">
        <f t="shared" si="18"/>
        <v>731.04136701244875</v>
      </c>
      <c r="C27" s="27">
        <f t="shared" si="19"/>
        <v>135.17857261119028</v>
      </c>
      <c r="D27" s="19">
        <f t="shared" si="2"/>
        <v>0</v>
      </c>
      <c r="E27" s="20">
        <f t="shared" si="1"/>
        <v>88.665200396886007</v>
      </c>
      <c r="F27" s="27" cm="1">
        <f t="array" ref="F27">SUM(pHealthyStage1*C26,(1-SUM(pStage1Remission,pStage1Stage2))*F26,pStage2Stage1*I26,pRemissionStage1_trtB*O26)</f>
        <v>117.66465133436043</v>
      </c>
      <c r="G27" s="19">
        <f t="shared" si="3"/>
        <v>123484.18467412815</v>
      </c>
      <c r="H27" s="20">
        <f t="shared" si="4"/>
        <v>67.916301570770486</v>
      </c>
      <c r="I27" s="27" cm="1">
        <f t="array" ref="I27">SUM(pHealthyStage2*C26,pStage1Stage2*F26,(1-SUM(pStage2Remission, pStage2Stage1, pStage2Stage3))*I26,pStage3Stage2*L26,pRemissionStage2_trtB*O26)</f>
        <v>68.912268708506517</v>
      </c>
      <c r="J27" s="19">
        <f t="shared" si="5"/>
        <v>325442.59032391553</v>
      </c>
      <c r="K27" s="20">
        <f t="shared" si="6"/>
        <v>32.092255434719448</v>
      </c>
      <c r="L27" s="27">
        <f t="shared" si="7"/>
        <v>24.262840134036423</v>
      </c>
      <c r="M27" s="19">
        <f t="shared" si="8"/>
        <v>369211.28366826399</v>
      </c>
      <c r="N27" s="20">
        <f t="shared" si="9"/>
        <v>5.7291406086454764</v>
      </c>
      <c r="O27" s="27">
        <f t="shared" si="10"/>
        <v>373.89910318277396</v>
      </c>
      <c r="P27" s="19">
        <f t="shared" si="11"/>
        <v>1863860.3061392966</v>
      </c>
      <c r="Q27" s="20">
        <f t="shared" si="12"/>
        <v>232.98253826741208</v>
      </c>
      <c r="R27" s="27">
        <f t="shared" si="13"/>
        <v>280.08256402913298</v>
      </c>
      <c r="S27" s="19">
        <f t="shared" si="14"/>
        <v>0</v>
      </c>
      <c r="T27" s="23">
        <f t="shared" si="15"/>
        <v>0</v>
      </c>
      <c r="U27" s="49">
        <f t="shared" si="16"/>
        <v>0</v>
      </c>
      <c r="V27" s="54">
        <v>1.3333333333333333</v>
      </c>
      <c r="W27" s="13">
        <f t="shared" si="17"/>
        <v>2681998.3648056043</v>
      </c>
      <c r="X27" s="25">
        <f t="shared" si="17"/>
        <v>427.38543627843353</v>
      </c>
    </row>
    <row r="28" spans="1:24" x14ac:dyDescent="0.2">
      <c r="A28" s="10">
        <v>25</v>
      </c>
      <c r="B28" s="15">
        <f t="shared" si="18"/>
        <v>719.91743597086759</v>
      </c>
      <c r="C28" s="27">
        <f t="shared" si="19"/>
        <v>124.36428680229506</v>
      </c>
      <c r="D28" s="19">
        <f t="shared" si="2"/>
        <v>0</v>
      </c>
      <c r="E28" s="20">
        <f t="shared" si="1"/>
        <v>39.598050662686958</v>
      </c>
      <c r="F28" s="27" cm="1">
        <f t="array" ref="F28">SUM(pHealthyStage1*C27,(1-SUM(pStage1Remission,pStage1Stage2))*F27,pStage2Stage1*I27,pRemissionStage1_trtB*O27)</f>
        <v>116.59849368794103</v>
      </c>
      <c r="G28" s="19">
        <f t="shared" si="3"/>
        <v>59400.629283073176</v>
      </c>
      <c r="H28" s="20">
        <f t="shared" si="4"/>
        <v>32.67034610569025</v>
      </c>
      <c r="I28" s="27" cm="1">
        <f t="array" ref="I28">SUM(pHealthyStage2*C27,pStage1Stage2*F27,(1-SUM(pStage2Remission, pStage2Stage1, pStage2Stage3))*I27,pStage3Stage2*L27,pRemissionStage2_trtB*O27)</f>
        <v>68.247512912948793</v>
      </c>
      <c r="J28" s="19">
        <f t="shared" si="5"/>
        <v>156457.88282631058</v>
      </c>
      <c r="K28" s="20">
        <f t="shared" si="6"/>
        <v>15.428485667594519</v>
      </c>
      <c r="L28" s="27">
        <f t="shared" si="7"/>
        <v>23.820046099406092</v>
      </c>
      <c r="M28" s="19">
        <f t="shared" si="8"/>
        <v>175957.87393985537</v>
      </c>
      <c r="N28" s="20">
        <f t="shared" si="9"/>
        <v>2.7303808025149969</v>
      </c>
      <c r="O28" s="27">
        <f t="shared" si="10"/>
        <v>375.96881840796021</v>
      </c>
      <c r="P28" s="19">
        <f t="shared" si="11"/>
        <v>909794.99447119469</v>
      </c>
      <c r="Q28" s="20">
        <f t="shared" si="12"/>
        <v>113.72437430889933</v>
      </c>
      <c r="R28" s="27">
        <f t="shared" si="13"/>
        <v>291.00084208944935</v>
      </c>
      <c r="S28" s="19">
        <f t="shared" si="14"/>
        <v>0</v>
      </c>
      <c r="T28" s="23">
        <f t="shared" si="15"/>
        <v>0</v>
      </c>
      <c r="U28" s="49">
        <f t="shared" si="16"/>
        <v>0</v>
      </c>
      <c r="V28" s="54">
        <v>0.66666666666666663</v>
      </c>
      <c r="W28" s="13">
        <f t="shared" si="17"/>
        <v>1301611.3805204339</v>
      </c>
      <c r="X28" s="25">
        <f t="shared" si="17"/>
        <v>204.15163754738606</v>
      </c>
    </row>
    <row r="29" spans="1:24" x14ac:dyDescent="0.2">
      <c r="A29" s="10">
        <v>26</v>
      </c>
      <c r="B29" s="15">
        <f t="shared" si="18"/>
        <v>708.99915791055128</v>
      </c>
      <c r="C29" s="27">
        <f t="shared" si="19"/>
        <v>114.41514385811145</v>
      </c>
      <c r="D29" s="19">
        <f t="shared" si="2"/>
        <v>0</v>
      </c>
      <c r="E29" s="20">
        <f t="shared" si="1"/>
        <v>70.738265261499009</v>
      </c>
      <c r="F29" s="27" cm="1">
        <f t="array" ref="F29">SUM(pHealthyStage1*C28,(1-SUM(pStage1Remission,pStage1Stage2))*F28,pStage2Stage1*I28,pRemissionStage1_trtB*O28)</f>
        <v>115.49711635556069</v>
      </c>
      <c r="G29" s="19">
        <f t="shared" si="3"/>
        <v>114251.52829530655</v>
      </c>
      <c r="H29" s="20">
        <f t="shared" si="4"/>
        <v>62.838340562418601</v>
      </c>
      <c r="I29" s="27" cm="1">
        <f t="array" ref="I29">SUM(pHealthyStage2*C28,pStage1Stage2*F28,(1-SUM(pStage2Remission, pStage2Stage1, pStage2Stage3))*I28,pStage3Stage2*L28,pRemissionStage2_trtB*O28)</f>
        <v>67.565709709818393</v>
      </c>
      <c r="J29" s="19">
        <f t="shared" si="5"/>
        <v>300766.68814160017</v>
      </c>
      <c r="K29" s="20">
        <f t="shared" si="6"/>
        <v>29.658937302852241</v>
      </c>
      <c r="L29" s="27">
        <f t="shared" si="7"/>
        <v>23.390792854668316</v>
      </c>
      <c r="M29" s="19">
        <f t="shared" si="8"/>
        <v>335508.72768230649</v>
      </c>
      <c r="N29" s="20">
        <f t="shared" si="9"/>
        <v>5.206169912311652</v>
      </c>
      <c r="O29" s="27">
        <f t="shared" si="10"/>
        <v>377.41137438765963</v>
      </c>
      <c r="P29" s="19">
        <f t="shared" si="11"/>
        <v>1773370.4657059556</v>
      </c>
      <c r="Q29" s="20">
        <f t="shared" si="12"/>
        <v>221.6713082132444</v>
      </c>
      <c r="R29" s="27">
        <f t="shared" si="13"/>
        <v>301.71986283418209</v>
      </c>
      <c r="S29" s="19">
        <f t="shared" si="14"/>
        <v>0</v>
      </c>
      <c r="T29" s="23">
        <f t="shared" si="15"/>
        <v>0</v>
      </c>
      <c r="U29" s="49">
        <f t="shared" si="16"/>
        <v>0</v>
      </c>
      <c r="V29" s="54">
        <v>1.3333333333333333</v>
      </c>
      <c r="W29" s="13">
        <f t="shared" si="17"/>
        <v>2523897.4098251686</v>
      </c>
      <c r="X29" s="25">
        <f t="shared" si="17"/>
        <v>390.11302125232589</v>
      </c>
    </row>
    <row r="30" spans="1:24" x14ac:dyDescent="0.2">
      <c r="A30" s="10">
        <v>27</v>
      </c>
      <c r="B30" s="15">
        <f t="shared" si="18"/>
        <v>698.28013716581847</v>
      </c>
      <c r="C30" s="27">
        <f t="shared" si="19"/>
        <v>105.26193234946254</v>
      </c>
      <c r="D30" s="19">
        <f t="shared" si="2"/>
        <v>0</v>
      </c>
      <c r="E30" s="20">
        <f t="shared" si="1"/>
        <v>31.591846621640347</v>
      </c>
      <c r="F30" s="27" cm="1">
        <f t="array" ref="F30">SUM(pHealthyStage1*C29,(1-SUM(pStage1Remission,pStage1Stage2))*F29,pStage2Stage1*I29,pRemissionStage1_trtB*O29)</f>
        <v>114.36507826052372</v>
      </c>
      <c r="G30" s="19">
        <f t="shared" si="3"/>
        <v>54918.300367634205</v>
      </c>
      <c r="H30" s="20">
        <f t="shared" si="4"/>
        <v>30.205065202198814</v>
      </c>
      <c r="I30" s="27" cm="1">
        <f t="array" ref="I30">SUM(pHealthyStage2*C29,pStage1Stage2*F29,(1-SUM(pStage2Remission, pStage2Stage1, pStage2Stage3))*I29,pStage3Stage2*L29,pRemissionStage2_trtB*O29)</f>
        <v>66.869321212972537</v>
      </c>
      <c r="J30" s="19">
        <f t="shared" si="5"/>
        <v>144498.41556744283</v>
      </c>
      <c r="K30" s="20">
        <f t="shared" si="6"/>
        <v>14.249149312900611</v>
      </c>
      <c r="L30" s="27">
        <f t="shared" si="7"/>
        <v>22.974404322388033</v>
      </c>
      <c r="M30" s="19">
        <f t="shared" si="8"/>
        <v>159969.03267812033</v>
      </c>
      <c r="N30" s="20">
        <f t="shared" si="9"/>
        <v>2.4822780932811765</v>
      </c>
      <c r="O30" s="27">
        <f t="shared" si="10"/>
        <v>378.28354423587092</v>
      </c>
      <c r="P30" s="19">
        <f t="shared" si="11"/>
        <v>862848.83206201915</v>
      </c>
      <c r="Q30" s="20">
        <f t="shared" si="12"/>
        <v>107.85610400775238</v>
      </c>
      <c r="R30" s="27">
        <f t="shared" si="13"/>
        <v>312.24571961878286</v>
      </c>
      <c r="S30" s="19">
        <f t="shared" si="14"/>
        <v>0</v>
      </c>
      <c r="T30" s="23">
        <f t="shared" si="15"/>
        <v>0</v>
      </c>
      <c r="U30" s="49">
        <f t="shared" si="16"/>
        <v>0</v>
      </c>
      <c r="V30" s="54">
        <v>0.66666666666666663</v>
      </c>
      <c r="W30" s="13">
        <f t="shared" si="17"/>
        <v>1222234.5806752164</v>
      </c>
      <c r="X30" s="25">
        <f t="shared" si="17"/>
        <v>186.38444323777333</v>
      </c>
    </row>
    <row r="31" spans="1:24" x14ac:dyDescent="0.2">
      <c r="A31" s="10">
        <v>28</v>
      </c>
      <c r="B31" s="15">
        <f t="shared" si="18"/>
        <v>687.75428038121777</v>
      </c>
      <c r="C31" s="27">
        <f t="shared" si="19"/>
        <v>96.840977761505542</v>
      </c>
      <c r="D31" s="19">
        <f t="shared" si="2"/>
        <v>0</v>
      </c>
      <c r="E31" s="20">
        <f t="shared" si="1"/>
        <v>56.435920178464308</v>
      </c>
      <c r="F31" s="27" cm="1">
        <f t="array" ref="F31">SUM(pHealthyStage1*C30,(1-SUM(pStage1Remission,pStage1Stage2))*F30,pStage2Stage1*I30,pRemissionStage1_trtB*O30)</f>
        <v>113.20654708633185</v>
      </c>
      <c r="G31" s="19">
        <f t="shared" si="3"/>
        <v>105557.22674800816</v>
      </c>
      <c r="H31" s="20">
        <f t="shared" si="4"/>
        <v>58.056474711404491</v>
      </c>
      <c r="I31" s="27" cm="1">
        <f t="array" ref="I31">SUM(pHealthyStage2*C30,pStage1Stage2*F30,(1-SUM(pStage2Remission, pStage2Stage1, pStage2Stage3))*I30,pStage3Stage2*L30,pRemissionStage2_trtB*O30)</f>
        <v>66.160565744020673</v>
      </c>
      <c r="J31" s="19">
        <f t="shared" si="5"/>
        <v>277605.55452782434</v>
      </c>
      <c r="K31" s="20">
        <f t="shared" si="6"/>
        <v>27.374992182604899</v>
      </c>
      <c r="L31" s="27">
        <f t="shared" si="7"/>
        <v>22.570219666634522</v>
      </c>
      <c r="M31" s="19">
        <f t="shared" si="8"/>
        <v>305154.80701529724</v>
      </c>
      <c r="N31" s="20">
        <f t="shared" si="9"/>
        <v>4.7351607985132329</v>
      </c>
      <c r="O31" s="27">
        <f t="shared" si="10"/>
        <v>378.63748817765054</v>
      </c>
      <c r="P31" s="19">
        <f t="shared" si="11"/>
        <v>1677002.2588077681</v>
      </c>
      <c r="Q31" s="20">
        <f t="shared" si="12"/>
        <v>209.62528235097099</v>
      </c>
      <c r="R31" s="27">
        <f t="shared" si="13"/>
        <v>322.58420156385745</v>
      </c>
      <c r="S31" s="19">
        <f t="shared" si="14"/>
        <v>0</v>
      </c>
      <c r="T31" s="23">
        <f t="shared" si="15"/>
        <v>0</v>
      </c>
      <c r="U31" s="49">
        <f t="shared" si="16"/>
        <v>0</v>
      </c>
      <c r="V31" s="54">
        <v>1.3333333333333333</v>
      </c>
      <c r="W31" s="13">
        <f t="shared" si="17"/>
        <v>2365319.8470988981</v>
      </c>
      <c r="X31" s="25">
        <f t="shared" si="17"/>
        <v>356.2278302219579</v>
      </c>
    </row>
    <row r="32" spans="1:24" x14ac:dyDescent="0.2">
      <c r="A32" s="10">
        <v>29</v>
      </c>
      <c r="B32" s="15">
        <f t="shared" si="18"/>
        <v>677.41579843614318</v>
      </c>
      <c r="C32" s="27">
        <f t="shared" si="19"/>
        <v>89.093699540585106</v>
      </c>
      <c r="D32" s="19">
        <f t="shared" si="2"/>
        <v>0</v>
      </c>
      <c r="E32" s="20">
        <f t="shared" si="1"/>
        <v>25.20439153601319</v>
      </c>
      <c r="F32" s="27" cm="1">
        <f t="array" ref="F32">SUM(pHealthyStage1*C31,(1-SUM(pStage1Remission,pStage1Stage2))*F31,pStage2Stage1*I31,pRemissionStage1_trtB*O31)</f>
        <v>112.02533183560408</v>
      </c>
      <c r="G32" s="19">
        <f t="shared" si="3"/>
        <v>50706.711520046963</v>
      </c>
      <c r="H32" s="20">
        <f t="shared" si="4"/>
        <v>27.888691336025826</v>
      </c>
      <c r="I32" s="27" cm="1">
        <f t="array" ref="I32">SUM(pHealthyStage2*C31,pStage1Stage2*F31,(1-SUM(pStage2Remission, pStage2Stage1, pStage2Stage3))*I31,pStage3Stage2*L31,pRemissionStage2_trtB*O31)</f>
        <v>65.441449338936934</v>
      </c>
      <c r="J32" s="19">
        <f t="shared" si="5"/>
        <v>133295.23665939938</v>
      </c>
      <c r="K32" s="20">
        <f t="shared" si="6"/>
        <v>13.144391392801884</v>
      </c>
      <c r="L32" s="27">
        <f t="shared" si="7"/>
        <v>22.177604472535418</v>
      </c>
      <c r="M32" s="19">
        <f t="shared" si="8"/>
        <v>145556.58010234669</v>
      </c>
      <c r="N32" s="20">
        <f t="shared" si="9"/>
        <v>2.2586365877950341</v>
      </c>
      <c r="O32" s="27">
        <f t="shared" si="10"/>
        <v>378.52111439849608</v>
      </c>
      <c r="P32" s="19">
        <f t="shared" si="11"/>
        <v>813828.56027629052</v>
      </c>
      <c r="Q32" s="20">
        <f t="shared" si="12"/>
        <v>101.72857003453632</v>
      </c>
      <c r="R32" s="27">
        <f t="shared" si="13"/>
        <v>332.74080041384298</v>
      </c>
      <c r="S32" s="19">
        <f t="shared" si="14"/>
        <v>0</v>
      </c>
      <c r="T32" s="23">
        <f t="shared" si="15"/>
        <v>0</v>
      </c>
      <c r="U32" s="49">
        <f t="shared" si="16"/>
        <v>0</v>
      </c>
      <c r="V32" s="54">
        <v>0.66666666666666663</v>
      </c>
      <c r="W32" s="13">
        <f t="shared" si="17"/>
        <v>1143387.0885580834</v>
      </c>
      <c r="X32" s="25">
        <f t="shared" si="17"/>
        <v>170.22468088717227</v>
      </c>
    </row>
    <row r="33" spans="1:24" ht="16" thickBot="1" x14ac:dyDescent="0.25">
      <c r="A33" s="11">
        <v>30</v>
      </c>
      <c r="B33" s="16">
        <f t="shared" si="18"/>
        <v>667.25919958615759</v>
      </c>
      <c r="C33" s="28">
        <f t="shared" si="19"/>
        <v>81.966203577338305</v>
      </c>
      <c r="D33" s="21">
        <f t="shared" si="2"/>
        <v>0</v>
      </c>
      <c r="E33" s="22">
        <f t="shared" si="1"/>
        <v>11.256330200549581</v>
      </c>
      <c r="F33" s="28" cm="1">
        <f t="array" ref="F33">SUM(pHealthyStage1*C32,(1-SUM(pStage1Remission,pStage1Stage2))*F32,pStage2Stage1*I32,pRemissionStage1_trtB*O32)</f>
        <v>110.82491228899845</v>
      </c>
      <c r="G33" s="21">
        <f t="shared" si="3"/>
        <v>24351.144793375504</v>
      </c>
      <c r="H33" s="22">
        <f t="shared" si="4"/>
        <v>13.39312963635653</v>
      </c>
      <c r="I33" s="28" cm="1">
        <f t="array" ref="I33">SUM(pHealthyStage2*C32,pStage1Stage2*F32,(1-SUM(pStage2Remission, pStage2Stage1, pStage2Stage3))*I32,pStage3Stage2*L32,pRemissionStage2_trtB*O32)</f>
        <v>64.713790433315921</v>
      </c>
      <c r="J33" s="21">
        <f t="shared" si="5"/>
        <v>63986.939559871971</v>
      </c>
      <c r="K33" s="22">
        <f t="shared" si="6"/>
        <v>6.3098232065984856</v>
      </c>
      <c r="L33" s="28">
        <f t="shared" si="7"/>
        <v>21.795956632514098</v>
      </c>
      <c r="M33" s="21">
        <f t="shared" si="8"/>
        <v>69442.592203675449</v>
      </c>
      <c r="N33" s="22">
        <f t="shared" si="9"/>
        <v>1.0775574652294464</v>
      </c>
      <c r="O33" s="28">
        <f t="shared" si="10"/>
        <v>377.9784146413499</v>
      </c>
      <c r="P33" s="21">
        <f t="shared" si="11"/>
        <v>394495.99227812549</v>
      </c>
      <c r="Q33" s="22">
        <f t="shared" si="12"/>
        <v>49.311999034765698</v>
      </c>
      <c r="R33" s="28">
        <f t="shared" si="13"/>
        <v>342.72072242648392</v>
      </c>
      <c r="S33" s="21">
        <f t="shared" si="14"/>
        <v>0</v>
      </c>
      <c r="T33" s="24">
        <f t="shared" si="15"/>
        <v>0</v>
      </c>
      <c r="U33" s="49">
        <f t="shared" si="16"/>
        <v>0</v>
      </c>
      <c r="V33" s="54">
        <v>0.33333333333333331</v>
      </c>
      <c r="W33" s="13">
        <f t="shared" si="17"/>
        <v>552276.66883504845</v>
      </c>
      <c r="X33" s="25">
        <f t="shared" si="17"/>
        <v>81.348839543499736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58629019.240626246</v>
      </c>
      <c r="X34" s="31">
        <f>SUM(X3:X33)</f>
        <v>15525.699710957397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1DDA-642D-2A4B-A6A0-6342222DEDFC}">
  <dimension ref="A1:Y113"/>
  <sheetViews>
    <sheetView workbookViewId="0">
      <selection activeCell="G5" sqref="G5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1.164062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22.83203125" style="1" bestFit="1" customWidth="1"/>
    <col min="22" max="22" width="7.164062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2001" width="8.83203125" style="1"/>
    <col min="2002" max="2002" width="2.33203125" style="1" customWidth="1"/>
    <col min="2003" max="16384" width="8.83203125" style="1"/>
  </cols>
  <sheetData>
    <row r="1" spans="1:25" x14ac:dyDescent="0.2">
      <c r="C1" s="213" t="s">
        <v>7</v>
      </c>
      <c r="D1" s="214"/>
      <c r="E1" s="215"/>
      <c r="F1" s="216" t="s">
        <v>8</v>
      </c>
      <c r="G1" s="217"/>
      <c r="H1" s="218"/>
      <c r="I1" s="219" t="s">
        <v>9</v>
      </c>
      <c r="J1" s="220"/>
      <c r="K1" s="221"/>
      <c r="L1" s="222" t="s">
        <v>10</v>
      </c>
      <c r="M1" s="223"/>
      <c r="N1" s="224"/>
      <c r="O1" s="225" t="s">
        <v>11</v>
      </c>
      <c r="P1" s="226"/>
      <c r="Q1" s="227"/>
      <c r="R1" s="210" t="s">
        <v>255</v>
      </c>
      <c r="S1" s="211"/>
      <c r="T1" s="212"/>
      <c r="U1" s="165" t="s">
        <v>256</v>
      </c>
    </row>
    <row r="2" spans="1:25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238">
        <v>0</v>
      </c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>SUM(C4,F4,I4,L4,O4)</f>
        <v>995.78010119984822</v>
      </c>
      <c r="C4" s="27">
        <f>(1-SUM(pHealthyStage1,pHealthyStage2,pHealthyStage3))*C3*(1-'Life Table - Male'!B48)</f>
        <v>916.11769310386035</v>
      </c>
      <c r="D4" s="19">
        <f t="shared" ref="D4:D33" si="2">C4*0*W4/(1+discount_rate)^A4</f>
        <v>0</v>
      </c>
      <c r="E4" s="20">
        <f t="shared" si="1"/>
        <v>592.95643566592901</v>
      </c>
      <c r="F4" s="27">
        <f>SUM(pHealthyStage1*C3,(1-SUM(pStage1Remission,pStage1Stage2))*F3,pStage2Stage1*I3,pRemissionStage1_trtC*O3)*(1-'Life Table - Male'!B48)</f>
        <v>49.789005059992405</v>
      </c>
      <c r="G4" s="239">
        <f>F4*SUM(nVisitsStage1*cVisit,cTreatmentStage1)*W4/((1+discount_rate)^A4)</f>
        <v>51561.429188341644</v>
      </c>
      <c r="H4" s="20">
        <f t="shared" ref="H4:H33" si="3">F4*uStage1*W4/(1+discount_rate)^A4</f>
        <v>28.358786053587906</v>
      </c>
      <c r="I4" s="27">
        <f>SUM(pHealthyStage2*C3,pStage1Stage2*F3,(1-SUM(pStage2Remission, pStage2Stage1, pStage2Stage3))*I3,pStage3Stage2*L3,pRemissionStage2_trtC*O3)*(1-'Life Table - Male'!B48)</f>
        <v>19.915602023996964</v>
      </c>
      <c r="J4" s="19">
        <f t="shared" ref="J4:J33" si="4">I4*SUM(nVisitsStage2*cVisit,cTreatmentStage2)*W4/(1+discount_rate)^A4</f>
        <v>92810.57253901496</v>
      </c>
      <c r="K4" s="20">
        <f t="shared" ref="K4:K33" si="5">I4*uStage2*W4/(1+discount_rate)^A4</f>
        <v>9.1521536809306419</v>
      </c>
      <c r="L4" s="27">
        <f>SUM(pHealthyStage3*C3,pStage2Stage3*I3,(1-SUM(pStage3Death, pStage3Stage2))*L3)*(1-'Life Table - Male'!B48)</f>
        <v>9.9578010119984821</v>
      </c>
      <c r="M4" s="19">
        <f t="shared" ref="M4:M33" si="6">L4*SUM(nVisitsStage3*cVisit,cTreatmentStage3)*W4/(1+discount_rate)^A4</f>
        <v>149528.14464619081</v>
      </c>
      <c r="N4" s="20">
        <f t="shared" ref="N4:N33" si="7">L4*uStage3*W4/(1+discount_rate)^A4</f>
        <v>2.3202643134753744</v>
      </c>
      <c r="O4" s="27">
        <f>SUM(pStage1Remission*F3,pStage2Remission*I3,(1-SUM(pRemissionStage1_trtC, pRemissionStage2_trtC))*O3)*(1-'Life Table - Male'!B48)</f>
        <v>0</v>
      </c>
      <c r="P4" s="19">
        <f t="shared" ref="P4:P33" si="8">O4*SUM(nVisitsRemission*cVisit, cTrtC)*W4/(1+discount_rate)^A4</f>
        <v>0</v>
      </c>
      <c r="Q4" s="20">
        <f t="shared" ref="Q4:Q33" si="9">O4*uRemission*W4/(1+discount_rate)^A4</f>
        <v>0</v>
      </c>
      <c r="R4" s="27">
        <f>SUM(pStage3Death*L3*(1-'Life Table - Male'!B48),R3)</f>
        <v>0</v>
      </c>
      <c r="S4" s="19">
        <f t="shared" ref="S4:S33" si="10">R4*0*W4/(1+discount_rate)^A4</f>
        <v>0</v>
      </c>
      <c r="T4" s="23">
        <f t="shared" ref="T4:T33" si="11">R4*0*W4/(1+discount_rate)^A4</f>
        <v>0</v>
      </c>
      <c r="U4" s="239">
        <f>SUM(B3*'Life Table - Male'!B48,U3)</f>
        <v>4.21989880015186</v>
      </c>
      <c r="V4" s="49">
        <f>SUM(C4,F4,I4,L4,O4,R4-R3, U4-U3)-B3</f>
        <v>0</v>
      </c>
      <c r="W4" s="54">
        <v>0.66666666666666663</v>
      </c>
      <c r="X4" s="13">
        <f>SUM(D4,G4,J4,M4,P4,S4)</f>
        <v>293900.14637354738</v>
      </c>
      <c r="Y4" s="25">
        <f>SUM(E4,H4,K4,N4,Q4,T4)</f>
        <v>632.78763971392289</v>
      </c>
    </row>
    <row r="5" spans="1:25" x14ac:dyDescent="0.2">
      <c r="A5" s="10">
        <v>2</v>
      </c>
      <c r="B5" s="15">
        <f t="shared" ref="B5:B33" si="12">SUM(C5,F5,I5,L5,O5)</f>
        <v>986.83511862817306</v>
      </c>
      <c r="C5" s="27">
        <f>(1-SUM(pHealthyStage1,pHealthyStage2,pHealthyStage3))*C4*(1-'Life Table - Male'!B49)</f>
        <v>839.03289242278834</v>
      </c>
      <c r="D5" s="19">
        <f t="shared" si="2"/>
        <v>0</v>
      </c>
      <c r="E5" s="20">
        <f t="shared" si="1"/>
        <v>1054.4919627018421</v>
      </c>
      <c r="F5" s="27">
        <f>SUM(pHealthyStage1*C4,(1-SUM(pStage1Remission,pStage1Stage2))*F4,pStage2Stage1*I4,pRemissionStage1_trtC*O4)*(1-'Life Table - Male'!B49)</f>
        <v>78.808028057197134</v>
      </c>
      <c r="G5" s="239">
        <f>F5*SUM(nVisitsStage1*cVisit,cTreatmentStage1)*W5/((1+discount_rate)^A5)</f>
        <v>158472.79968770593</v>
      </c>
      <c r="H5" s="20">
        <f t="shared" si="3"/>
        <v>87.160039828238254</v>
      </c>
      <c r="I5" s="27">
        <f>SUM(pHealthyStage2*C4,pStage1Stage2*F4,(1-SUM(pStage2Remission, pStage2Stage1, pStage2Stage3))*I4,pStage3Stage2*L4,pRemissionStage2_trtC*O4)*(1-'Life Table - Male'!B49)</f>
        <v>35.587524619539344</v>
      </c>
      <c r="J5" s="19">
        <f t="shared" si="4"/>
        <v>322028.68917671568</v>
      </c>
      <c r="K5" s="20">
        <f t="shared" si="5"/>
        <v>31.755606849370576</v>
      </c>
      <c r="L5" s="27">
        <f>SUM(pHealthyStage3*C4,pStage2Stage3*I4,(1-SUM(pStage3Death, pStage3Stage2))*L4)*(1-'Life Table - Male'!B49)</f>
        <v>17.050290346965927</v>
      </c>
      <c r="M5" s="19">
        <f t="shared" si="6"/>
        <v>497146.11625300464</v>
      </c>
      <c r="N5" s="20">
        <f t="shared" si="7"/>
        <v>7.7143362866845546</v>
      </c>
      <c r="O5" s="27">
        <f>SUM(pStage1Remission*F4,pStage2Remission*I4,(1-SUM(pRemissionStage1_trtC, pRemissionStage2_trtC))*O4)*(1-'Life Table - Male'!B49)</f>
        <v>16.356383181682425</v>
      </c>
      <c r="P5" s="19">
        <f t="shared" si="8"/>
        <v>259013.32590467029</v>
      </c>
      <c r="Q5" s="20">
        <f t="shared" si="9"/>
        <v>19.52878250868546</v>
      </c>
      <c r="R5" s="27">
        <f>SUM(pStage3Death*L4*(1-'Life Table - Male'!B49),R4)</f>
        <v>4.4608317768224799</v>
      </c>
      <c r="S5" s="19">
        <f t="shared" si="10"/>
        <v>0</v>
      </c>
      <c r="T5" s="23">
        <f t="shared" si="11"/>
        <v>0</v>
      </c>
      <c r="U5" s="239">
        <f>SUM(B4*'Life Table - Male'!B49,U4)</f>
        <v>8.704049595004502</v>
      </c>
      <c r="V5" s="49">
        <f t="shared" ref="V5:V33" si="13">SUM(C5,F5,I5,L5,O5,R5-R4, U5-U4)-B4</f>
        <v>0</v>
      </c>
      <c r="W5" s="54">
        <v>1.3333333333333333</v>
      </c>
      <c r="X5" s="13">
        <f t="shared" ref="X5:Y33" si="14">SUM(D5,G5,J5,M5,P5,S5)</f>
        <v>1236660.9310220964</v>
      </c>
      <c r="Y5" s="25">
        <f t="shared" si="14"/>
        <v>1200.6507281748211</v>
      </c>
    </row>
    <row r="6" spans="1:25" x14ac:dyDescent="0.2">
      <c r="A6" s="10">
        <v>3</v>
      </c>
      <c r="B6" s="15">
        <f t="shared" si="12"/>
        <v>974.44456533342884</v>
      </c>
      <c r="C6" s="27">
        <f>(1-SUM(pHealthyStage1,pHealthyStage2,pHealthyStage3))*C5*(1-'Life Table - Male'!B50)</f>
        <v>768.19094688017037</v>
      </c>
      <c r="D6" s="19">
        <f t="shared" si="2"/>
        <v>0</v>
      </c>
      <c r="E6" s="20">
        <f t="shared" si="1"/>
        <v>468.66902521866257</v>
      </c>
      <c r="F6" s="27">
        <f>SUM(pHealthyStage1*C5,(1-SUM(pStage1Remission,pStage1Stage2))*F5,pStage2Stage1*I5,pRemissionStage1_trtC*O5)*(1-'Life Table - Male'!B50)</f>
        <v>95.312587753795682</v>
      </c>
      <c r="G6" s="239">
        <f t="shared" ref="G4:G33" si="15">F6*SUM(nVisitsStage1*cVisit,cTreatmentStage1)*W6/(1+discount_rate)^A6</f>
        <v>93039.487695202362</v>
      </c>
      <c r="H6" s="20">
        <f t="shared" si="3"/>
        <v>51.1717182323613</v>
      </c>
      <c r="I6" s="27">
        <f>SUM(pHealthyStage2*C5,pStage1Stage2*F5,(1-SUM(pStage2Remission, pStage2Stage1, pStage2Stage3))*I5,pStage3Stage2*L5,pRemissionStage2_trtC*O5)*(1-'Life Table - Male'!B50)</f>
        <v>46.966223441315584</v>
      </c>
      <c r="J6" s="19">
        <f t="shared" si="4"/>
        <v>206307.58873745662</v>
      </c>
      <c r="K6" s="20">
        <f t="shared" si="5"/>
        <v>20.344220556054754</v>
      </c>
      <c r="L6" s="27">
        <f>SUM(pHealthyStage3*C5,pStage2Stage3*I5,(1-SUM(pStage3Death, pStage3Stage2))*L5)*(1-'Life Table - Male'!B50)</f>
        <v>22.146377710344765</v>
      </c>
      <c r="M6" s="19">
        <f t="shared" si="6"/>
        <v>313464.06002597086</v>
      </c>
      <c r="N6" s="20">
        <f t="shared" si="7"/>
        <v>4.8640974831616157</v>
      </c>
      <c r="O6" s="27">
        <f>SUM(pStage1Remission*F5,pStage2Remission*I5,(1-SUM(pRemissionStage1_trtC, pRemissionStage2_trtC))*O5)*(1-'Life Table - Male'!B50)</f>
        <v>41.828429547802472</v>
      </c>
      <c r="P6" s="19">
        <f t="shared" si="8"/>
        <v>321543.08276590653</v>
      </c>
      <c r="Q6" s="20">
        <f t="shared" si="9"/>
        <v>24.243327668858029</v>
      </c>
      <c r="R6" s="27">
        <f>SUM(pStage3Death*L5*(1-'Life Table - Male'!B50),R5)</f>
        <v>12.096493208426047</v>
      </c>
      <c r="S6" s="19">
        <f t="shared" si="10"/>
        <v>0</v>
      </c>
      <c r="T6" s="23">
        <f t="shared" si="11"/>
        <v>0</v>
      </c>
      <c r="U6" s="239">
        <f>SUM(B5*'Life Table - Male'!B50,U5)</f>
        <v>13.458941458145318</v>
      </c>
      <c r="V6" s="49">
        <f t="shared" si="13"/>
        <v>0</v>
      </c>
      <c r="W6" s="54">
        <v>0.66666666666666663</v>
      </c>
      <c r="X6" s="13">
        <f t="shared" si="14"/>
        <v>934354.21922453633</v>
      </c>
      <c r="Y6" s="25">
        <f t="shared" si="14"/>
        <v>569.29238915909821</v>
      </c>
    </row>
    <row r="7" spans="1:25" x14ac:dyDescent="0.2">
      <c r="A7" s="10">
        <v>4</v>
      </c>
      <c r="B7" s="15">
        <f t="shared" si="12"/>
        <v>959.4948421618692</v>
      </c>
      <c r="C7" s="27">
        <f>(1-SUM(pHealthyStage1,pHealthyStage2,pHealthyStage3))*C6*(1-'Life Table - Male'!B51)</f>
        <v>703.08368083241612</v>
      </c>
      <c r="D7" s="19">
        <f t="shared" si="2"/>
        <v>0</v>
      </c>
      <c r="E7" s="20">
        <f t="shared" si="1"/>
        <v>832.90765869398649</v>
      </c>
      <c r="F7" s="27">
        <f>SUM(pHealthyStage1*C6,(1-SUM(pStage1Remission,pStage1Stage2))*F6,pStage2Stage1*I6,pRemissionStage1_trtC*O6)*(1-'Life Table - Male'!B51)</f>
        <v>104.26090514007196</v>
      </c>
      <c r="G7" s="239">
        <f t="shared" si="15"/>
        <v>197620.18948462978</v>
      </c>
      <c r="H7" s="20">
        <f t="shared" si="3"/>
        <v>108.69110421654638</v>
      </c>
      <c r="I7" s="27">
        <f>SUM(pHealthyStage2*C6,pStage1Stage2*F6,(1-SUM(pStage2Remission, pStage2Stage1, pStage2Stage3))*I6,pStage3Stage2*L6,pRemissionStage2_trtC*O6)*(1-'Life Table - Male'!B51)</f>
        <v>54.734395285935072</v>
      </c>
      <c r="J7" s="19">
        <f t="shared" si="4"/>
        <v>466855.6923556882</v>
      </c>
      <c r="K7" s="20">
        <f t="shared" si="5"/>
        <v>46.037158551741477</v>
      </c>
      <c r="L7" s="27">
        <f>SUM(pHealthyStage3*C6,pStage2Stage3*I6,(1-SUM(pStage3Death, pStage3Stage2))*L6)*(1-'Life Table - Male'!B51)</f>
        <v>25.666712595366977</v>
      </c>
      <c r="M7" s="19">
        <f t="shared" si="6"/>
        <v>705420.49003006204</v>
      </c>
      <c r="N7" s="20">
        <f t="shared" si="7"/>
        <v>10.946180017707858</v>
      </c>
      <c r="O7" s="27">
        <f>SUM(pStage1Remission*F6,pStage2Remission*I6,(1-SUM(pRemissionStage1_trtC, pRemissionStage2_trtC))*O6)*(1-'Life Table - Male'!B51)</f>
        <v>71.749148308079029</v>
      </c>
      <c r="P7" s="19">
        <f t="shared" si="8"/>
        <v>1070969.5747079295</v>
      </c>
      <c r="Q7" s="20">
        <f t="shared" si="9"/>
        <v>80.747706029566103</v>
      </c>
      <c r="R7" s="27">
        <f>SUM(pStage3Death*L6*(1-'Life Table - Male'!B51),R6)</f>
        <v>22.010865479690565</v>
      </c>
      <c r="S7" s="19">
        <f t="shared" si="10"/>
        <v>0</v>
      </c>
      <c r="T7" s="23">
        <f t="shared" si="11"/>
        <v>0</v>
      </c>
      <c r="U7" s="239">
        <f>SUM(B6*'Life Table - Male'!B51,U6)</f>
        <v>18.494292358440504</v>
      </c>
      <c r="V7" s="49">
        <f t="shared" si="13"/>
        <v>0</v>
      </c>
      <c r="W7" s="54">
        <v>1.3333333333333333</v>
      </c>
      <c r="X7" s="13">
        <f t="shared" si="14"/>
        <v>2440865.9465783094</v>
      </c>
      <c r="Y7" s="25">
        <f t="shared" si="14"/>
        <v>1079.3298075095483</v>
      </c>
    </row>
    <row r="8" spans="1:25" x14ac:dyDescent="0.2">
      <c r="A8" s="10">
        <v>5</v>
      </c>
      <c r="B8" s="15">
        <f t="shared" si="12"/>
        <v>942.67862251815234</v>
      </c>
      <c r="C8" s="27">
        <f>(1-SUM(pHealthyStage1,pHealthyStage2,pHealthyStage3))*C7*(1-'Life Table - Male'!B52)</f>
        <v>643.24355751018345</v>
      </c>
      <c r="D8" s="19">
        <f t="shared" si="2"/>
        <v>0</v>
      </c>
      <c r="E8" s="20">
        <f t="shared" si="1"/>
        <v>369.91169547120296</v>
      </c>
      <c r="F8" s="27">
        <f>SUM(pHealthyStage1*C7,(1-SUM(pStage1Remission,pStage1Stage2))*F7,pStage2Stage1*I7,pRemissionStage1_trtC*O7)*(1-'Life Table - Male'!B52)</f>
        <v>108.6410350805875</v>
      </c>
      <c r="G8" s="239">
        <f t="shared" si="15"/>
        <v>99962.35861877643</v>
      </c>
      <c r="H8" s="20">
        <f t="shared" si="3"/>
        <v>54.979297240327043</v>
      </c>
      <c r="I8" s="27">
        <f>SUM(pHealthyStage2*C7,pStage1Stage2*F7,(1-SUM(pStage2Remission, pStage2Stage1, pStage2Stage3))*I7,pStage3Stage2*L7,pRemissionStage2_trtC*O7)*(1-'Life Table - Male'!B52)</f>
        <v>59.713137217321766</v>
      </c>
      <c r="J8" s="19">
        <f t="shared" si="4"/>
        <v>247243.5681926338</v>
      </c>
      <c r="K8" s="20">
        <f t="shared" si="5"/>
        <v>24.380962974551387</v>
      </c>
      <c r="L8" s="27">
        <f>SUM(pHealthyStage3*C7,pStage2Stage3*I7,(1-SUM(pStage3Death, pStage3Stage2))*L7)*(1-'Life Table - Male'!B52)</f>
        <v>27.918388546891872</v>
      </c>
      <c r="M8" s="19">
        <f t="shared" si="6"/>
        <v>372478.27679230709</v>
      </c>
      <c r="N8" s="20">
        <f t="shared" si="7"/>
        <v>5.7798353295357998</v>
      </c>
      <c r="O8" s="27">
        <f>SUM(pStage1Remission*F7,pStage2Remission*I7,(1-SUM(pRemissionStage1_trtC, pRemissionStage2_trtC))*O7)*(1-'Life Table - Male'!B52)</f>
        <v>103.1625041631678</v>
      </c>
      <c r="P8" s="19">
        <f t="shared" si="8"/>
        <v>747506.61140581814</v>
      </c>
      <c r="Q8" s="20">
        <f t="shared" si="9"/>
        <v>56.359625463137064</v>
      </c>
      <c r="R8" s="27">
        <f>SUM(pStage3Death*L7*(1-'Life Table - Male'!B52),R7)</f>
        <v>33.496721329535383</v>
      </c>
      <c r="S8" s="19">
        <f t="shared" si="10"/>
        <v>0</v>
      </c>
      <c r="T8" s="23">
        <f t="shared" si="11"/>
        <v>0</v>
      </c>
      <c r="U8" s="239">
        <f>SUM(B7*'Life Table - Male'!B52,U7)</f>
        <v>23.824656152312539</v>
      </c>
      <c r="V8" s="49">
        <f t="shared" si="13"/>
        <v>0</v>
      </c>
      <c r="W8" s="54">
        <v>0.66666666666666663</v>
      </c>
      <c r="X8" s="13">
        <f t="shared" si="14"/>
        <v>1467190.8150095353</v>
      </c>
      <c r="Y8" s="25">
        <f t="shared" si="14"/>
        <v>511.41141647875418</v>
      </c>
    </row>
    <row r="9" spans="1:25" x14ac:dyDescent="0.2">
      <c r="A9" s="10">
        <v>6</v>
      </c>
      <c r="B9" s="15">
        <f t="shared" si="12"/>
        <v>924.58475426775374</v>
      </c>
      <c r="C9" s="27">
        <f>(1-SUM(pHealthyStage1,pHealthyStage2,pHealthyStage3))*C8*(1-'Life Table - Male'!B53)</f>
        <v>588.26524366029503</v>
      </c>
      <c r="D9" s="19">
        <f t="shared" si="2"/>
        <v>0</v>
      </c>
      <c r="E9" s="20">
        <f t="shared" si="1"/>
        <v>656.88384042622806</v>
      </c>
      <c r="F9" s="27">
        <f>SUM(pHealthyStage1*C8,(1-SUM(pStage1Remission,pStage1Stage2))*F8,pStage2Stage1*I8,pRemissionStage1_trtC*O8)*(1-'Life Table - Male'!B53)</f>
        <v>110.26307156174337</v>
      </c>
      <c r="G9" s="239">
        <f t="shared" si="15"/>
        <v>196999.6512566256</v>
      </c>
      <c r="H9" s="20">
        <f t="shared" si="3"/>
        <v>108.34980819114408</v>
      </c>
      <c r="I9" s="27">
        <f>SUM(pHealthyStage2*C8,pStage1Stage2*F8,(1-SUM(pStage2Remission, pStage2Stage1, pStage2Stage3))*I8,pStage3Stage2*L8,pRemissionStage2_trtC*O8)*(1-'Life Table - Male'!B53)</f>
        <v>62.641324564289306</v>
      </c>
      <c r="J9" s="19">
        <f t="shared" si="4"/>
        <v>503626.78214787238</v>
      </c>
      <c r="K9" s="20">
        <f t="shared" si="5"/>
        <v>49.663196572915183</v>
      </c>
      <c r="L9" s="27">
        <f>SUM(pHealthyStage3*C8,pStage2Stage3*I8,(1-SUM(pStage3Death, pStage3Stage2))*L8)*(1-'Life Table - Male'!B53)</f>
        <v>29.174089628398715</v>
      </c>
      <c r="M9" s="19">
        <f t="shared" si="6"/>
        <v>755789.20772159204</v>
      </c>
      <c r="N9" s="20">
        <f t="shared" si="7"/>
        <v>11.727763568093666</v>
      </c>
      <c r="O9" s="27">
        <f>SUM(pStage1Remission*F8,pStage2Remission*I8,(1-SUM(pRemissionStage1_trtC, pRemissionStage2_trtC))*O8)*(1-'Life Table - Male'!B53)</f>
        <v>134.24102485302726</v>
      </c>
      <c r="P9" s="19">
        <f t="shared" si="8"/>
        <v>1888735.7145802237</v>
      </c>
      <c r="Q9" s="20">
        <f t="shared" si="9"/>
        <v>142.40467689295338</v>
      </c>
      <c r="R9" s="27">
        <f>SUM(pStage3Death*L8*(1-'Life Table - Male'!B53),R8)</f>
        <v>45.98529322059558</v>
      </c>
      <c r="S9" s="19">
        <f t="shared" si="10"/>
        <v>0</v>
      </c>
      <c r="T9" s="23">
        <f t="shared" si="11"/>
        <v>0</v>
      </c>
      <c r="U9" s="239">
        <f>SUM(B8*'Life Table - Male'!B53,U8)</f>
        <v>29.429952511650974</v>
      </c>
      <c r="V9" s="49">
        <f t="shared" si="13"/>
        <v>0</v>
      </c>
      <c r="W9" s="54">
        <v>1.3333333333333333</v>
      </c>
      <c r="X9" s="13">
        <f t="shared" si="14"/>
        <v>3345151.3557063136</v>
      </c>
      <c r="Y9" s="25">
        <f t="shared" si="14"/>
        <v>969.02928565133448</v>
      </c>
    </row>
    <row r="10" spans="1:25" x14ac:dyDescent="0.2">
      <c r="A10" s="10">
        <v>7</v>
      </c>
      <c r="B10" s="15">
        <f t="shared" si="12"/>
        <v>905.61569394749574</v>
      </c>
      <c r="C10" s="27">
        <f>(1-SUM(pHealthyStage1,pHealthyStage2,pHealthyStage3))*C9*(1-'Life Table - Male'!B54)</f>
        <v>537.73592507580793</v>
      </c>
      <c r="D10" s="19">
        <f t="shared" si="2"/>
        <v>0</v>
      </c>
      <c r="E10" s="20">
        <f t="shared" si="1"/>
        <v>291.48567734900342</v>
      </c>
      <c r="F10" s="27">
        <f>SUM(pHealthyStage1*C9,(1-SUM(pStage1Remission,pStage1Stage2))*F9,pStage2Stage1*I9,pRemissionStage1_trtC*O9)*(1-'Life Table - Male'!B54)</f>
        <v>110.21753407721066</v>
      </c>
      <c r="G10" s="239">
        <f t="shared" si="15"/>
        <v>95591.404116668593</v>
      </c>
      <c r="H10" s="20">
        <f t="shared" si="3"/>
        <v>52.575272264167722</v>
      </c>
      <c r="I10" s="27">
        <f>SUM(pHealthyStage2*C9,pStage1Stage2*F9,(1-SUM(pStage2Remission, pStage2Stage1, pStage2Stage3))*I9,pStage3Stage2*L9,pRemissionStage2_trtC*O9)*(1-'Life Table - Male'!B54)</f>
        <v>64.106480429201014</v>
      </c>
      <c r="J10" s="19">
        <f t="shared" si="4"/>
        <v>250197.28828359448</v>
      </c>
      <c r="K10" s="20">
        <f t="shared" si="5"/>
        <v>24.672232594632231</v>
      </c>
      <c r="L10" s="27">
        <f>SUM(pHealthyStage3*C9,pStage2Stage3*I9,(1-SUM(pStage3Death, pStage3Stage2))*L9)*(1-'Life Table - Male'!B54)</f>
        <v>29.674511758794822</v>
      </c>
      <c r="M10" s="19">
        <f t="shared" si="6"/>
        <v>373181.18123504188</v>
      </c>
      <c r="N10" s="20">
        <f t="shared" si="7"/>
        <v>5.7907424674403041</v>
      </c>
      <c r="O10" s="27">
        <f>SUM(pStage1Remission*F9,pStage2Remission*I9,(1-SUM(pRemissionStage1_trtC, pRemissionStage2_trtC))*O9)*(1-'Life Table - Male'!B54)</f>
        <v>163.88124260648132</v>
      </c>
      <c r="P10" s="19">
        <f t="shared" si="8"/>
        <v>1119303.756746538</v>
      </c>
      <c r="Q10" s="20">
        <f t="shared" si="9"/>
        <v>84.391949913429443</v>
      </c>
      <c r="R10" s="27">
        <f>SUM(pStage3Death*L9*(1-'Life Table - Male'!B54),R9)</f>
        <v>59.029505603193549</v>
      </c>
      <c r="S10" s="19">
        <f t="shared" si="10"/>
        <v>0</v>
      </c>
      <c r="T10" s="23">
        <f t="shared" si="11"/>
        <v>0</v>
      </c>
      <c r="U10" s="239">
        <f>SUM(B9*'Life Table - Male'!B54,U9)</f>
        <v>35.354800449311014</v>
      </c>
      <c r="V10" s="49">
        <f t="shared" si="13"/>
        <v>0</v>
      </c>
      <c r="W10" s="54">
        <v>0.66666666666666663</v>
      </c>
      <c r="X10" s="13">
        <f t="shared" si="14"/>
        <v>1838273.6303818428</v>
      </c>
      <c r="Y10" s="25">
        <f t="shared" si="14"/>
        <v>458.91587458867309</v>
      </c>
    </row>
    <row r="11" spans="1:25" x14ac:dyDescent="0.2">
      <c r="A11" s="10">
        <v>8</v>
      </c>
      <c r="B11" s="15">
        <f t="shared" si="12"/>
        <v>886.053339207926</v>
      </c>
      <c r="C11" s="27">
        <f>(1-SUM(pHealthyStage1,pHealthyStage2,pHealthyStage3))*C10*(1-'Life Table - Male'!B55)</f>
        <v>491.27455238864513</v>
      </c>
      <c r="D11" s="19">
        <f t="shared" si="2"/>
        <v>0</v>
      </c>
      <c r="E11" s="20">
        <f t="shared" si="1"/>
        <v>517.08889098538918</v>
      </c>
      <c r="F11" s="27">
        <f>SUM(pHealthyStage1*C10,(1-SUM(pStage1Remission,pStage1Stage2))*F10,pStage2Stage1*I10,pRemissionStage1_trtC*O10)*(1-'Life Table - Male'!B55)</f>
        <v>109.16264625334396</v>
      </c>
      <c r="G11" s="239">
        <f t="shared" si="15"/>
        <v>183837.86878834196</v>
      </c>
      <c r="H11" s="20">
        <f t="shared" si="3"/>
        <v>101.11082783358806</v>
      </c>
      <c r="I11" s="27">
        <f>SUM(pHealthyStage2*C10,pStage1Stage2*F10,(1-SUM(pStage2Remission, pStage2Stage1, pStage2Stage3))*I10,pStage3Stage2*L10,pRemissionStage2_trtC*O10)*(1-'Life Table - Male'!B55)</f>
        <v>64.549394878979811</v>
      </c>
      <c r="J11" s="19">
        <f t="shared" si="4"/>
        <v>489176.52851369599</v>
      </c>
      <c r="K11" s="20">
        <f t="shared" si="5"/>
        <v>48.238241006211695</v>
      </c>
      <c r="L11" s="27">
        <f>SUM(pHealthyStage3*C10,pStage2Stage3*I10,(1-SUM(pStage3Death, pStage3Stage2))*L10)*(1-'Life Table - Male'!B55)</f>
        <v>29.623010445661677</v>
      </c>
      <c r="M11" s="19">
        <f t="shared" si="6"/>
        <v>723366.03928055649</v>
      </c>
      <c r="N11" s="20">
        <f t="shared" si="7"/>
        <v>11.224645437112082</v>
      </c>
      <c r="O11" s="27">
        <f>SUM(pStage1Remission*F10,pStage2Remission*I10,(1-SUM(pRemissionStage1_trtC, pRemissionStage2_trtC))*O10)*(1-'Life Table - Male'!B55)</f>
        <v>191.44373524129549</v>
      </c>
      <c r="P11" s="19">
        <f t="shared" si="8"/>
        <v>2538941.2011773195</v>
      </c>
      <c r="Q11" s="20">
        <f t="shared" si="9"/>
        <v>191.4281064379725</v>
      </c>
      <c r="R11" s="27">
        <f>SUM(pStage3Death*L10*(1-'Life Table - Male'!B55),R10)</f>
        <v>72.29011508200297</v>
      </c>
      <c r="S11" s="19">
        <f t="shared" si="10"/>
        <v>0</v>
      </c>
      <c r="T11" s="23">
        <f t="shared" si="11"/>
        <v>0</v>
      </c>
      <c r="U11" s="239">
        <f>SUM(B10*'Life Table - Male'!B55,U10)</f>
        <v>41.656545710071263</v>
      </c>
      <c r="V11" s="49">
        <f t="shared" si="13"/>
        <v>0</v>
      </c>
      <c r="W11" s="54">
        <v>1.3333333333333333</v>
      </c>
      <c r="X11" s="13">
        <f t="shared" si="14"/>
        <v>3935321.6377599137</v>
      </c>
      <c r="Y11" s="25">
        <f t="shared" si="14"/>
        <v>869.09071170027346</v>
      </c>
    </row>
    <row r="12" spans="1:25" x14ac:dyDescent="0.2">
      <c r="A12" s="10">
        <v>9</v>
      </c>
      <c r="B12" s="15">
        <f t="shared" si="12"/>
        <v>866.08393622578387</v>
      </c>
      <c r="C12" s="27">
        <f>(1-SUM(pHealthyStage1,pHealthyStage2,pHealthyStage3))*C11*(1-'Life Table - Male'!B56)</f>
        <v>448.53430607565599</v>
      </c>
      <c r="D12" s="19">
        <f t="shared" si="2"/>
        <v>0</v>
      </c>
      <c r="E12" s="20">
        <f t="shared" si="1"/>
        <v>229.17613147101363</v>
      </c>
      <c r="F12" s="27">
        <f>SUM(pHealthyStage1*C11,(1-SUM(pStage1Remission,pStage1Stage2))*F11,pStage2Stage1*I11,pRemissionStage1_trtC*O11)*(1-'Life Table - Male'!B56)</f>
        <v>107.49509041335033</v>
      </c>
      <c r="G12" s="239">
        <f t="shared" si="15"/>
        <v>87878.438333421524</v>
      </c>
      <c r="H12" s="20">
        <f t="shared" si="3"/>
        <v>48.333141083381847</v>
      </c>
      <c r="I12" s="27">
        <f>SUM(pHealthyStage2*C11,pStage1Stage2*F11,(1-SUM(pStage2Remission, pStage2Stage1, pStage2Stage3))*I11,pStage3Stage2*L11,pRemissionStage2_trtC*O11)*(1-'Life Table - Male'!B56)</f>
        <v>64.288607430327446</v>
      </c>
      <c r="J12" s="19">
        <f t="shared" si="4"/>
        <v>236504.94928163412</v>
      </c>
      <c r="K12" s="20">
        <f t="shared" si="5"/>
        <v>23.32201583193892</v>
      </c>
      <c r="L12" s="27">
        <f>SUM(pHealthyStage3*C11,pStage2Stage3*I11,(1-SUM(pStage3Death, pStage3Stage2))*L11)*(1-'Life Table - Male'!B56)</f>
        <v>29.18295527631178</v>
      </c>
      <c r="M12" s="19">
        <f t="shared" si="6"/>
        <v>345932.18744908337</v>
      </c>
      <c r="N12" s="20">
        <f t="shared" si="7"/>
        <v>5.3679132535202587</v>
      </c>
      <c r="O12" s="27">
        <f>SUM(pStage1Remission*F11,pStage2Remission*I11,(1-SUM(pRemissionStage1_trtC, pRemissionStage2_trtC))*O11)*(1-'Life Table - Male'!B56)</f>
        <v>216.58297703013824</v>
      </c>
      <c r="P12" s="19">
        <f t="shared" si="8"/>
        <v>1394339.6673082244</v>
      </c>
      <c r="Q12" s="20">
        <f t="shared" si="9"/>
        <v>105.12878443990577</v>
      </c>
      <c r="R12" s="27">
        <f>SUM(pStage3Death*L11*(1-'Life Table - Male'!B56),R11)</f>
        <v>85.51906203915587</v>
      </c>
      <c r="S12" s="19">
        <f t="shared" si="10"/>
        <v>0</v>
      </c>
      <c r="T12" s="23">
        <f t="shared" si="11"/>
        <v>0</v>
      </c>
      <c r="U12" s="239">
        <f>SUM(B11*'Life Table - Male'!B56,U11)</f>
        <v>48.397001735060634</v>
      </c>
      <c r="V12" s="49">
        <f t="shared" si="13"/>
        <v>0</v>
      </c>
      <c r="W12" s="54">
        <v>0.66666666666666663</v>
      </c>
      <c r="X12" s="13">
        <f t="shared" si="14"/>
        <v>2064655.2423723633</v>
      </c>
      <c r="Y12" s="25">
        <f t="shared" si="14"/>
        <v>411.32798607976042</v>
      </c>
    </row>
    <row r="13" spans="1:25" x14ac:dyDescent="0.2">
      <c r="A13" s="10">
        <v>10</v>
      </c>
      <c r="B13" s="15">
        <f t="shared" si="12"/>
        <v>845.84943742162579</v>
      </c>
      <c r="C13" s="27">
        <f>(1-SUM(pHealthyStage1,pHealthyStage2,pHealthyStage3))*C12*(1-'Life Table - Male'!B57)</f>
        <v>409.2155857643175</v>
      </c>
      <c r="D13" s="19">
        <f t="shared" si="2"/>
        <v>0</v>
      </c>
      <c r="E13" s="20">
        <f t="shared" si="1"/>
        <v>405.9931029975034</v>
      </c>
      <c r="F13" s="27">
        <f>SUM(pHealthyStage1*C12,(1-SUM(pStage1Remission,pStage1Stage2))*F12,pStage2Stage1*I12,pRemissionStage1_trtC*O12)*(1-'Life Table - Male'!B57)</f>
        <v>105.45663737182215</v>
      </c>
      <c r="G13" s="239">
        <f t="shared" si="15"/>
        <v>167401.90326153269</v>
      </c>
      <c r="H13" s="20">
        <f t="shared" si="3"/>
        <v>92.071046793842982</v>
      </c>
      <c r="I13" s="27">
        <f>SUM(pHealthyStage2*C12,pStage1Stage2*F12,(1-SUM(pStage2Remission, pStage2Stage1, pStage2Stage3))*I12,pStage3Stage2*L12,pRemissionStage2_trtC*O12)*(1-'Life Table - Male'!B57)</f>
        <v>63.550565047182722</v>
      </c>
      <c r="J13" s="19">
        <f t="shared" si="4"/>
        <v>453960.8519026289</v>
      </c>
      <c r="K13" s="20">
        <f t="shared" si="5"/>
        <v>44.765584007064795</v>
      </c>
      <c r="L13" s="27">
        <f>SUM(pHealthyStage3*C12,pStage2Stage3*I12,(1-SUM(pStage3Death, pStage3Stage2))*L12)*(1-'Life Table - Male'!B57)</f>
        <v>28.480971533680659</v>
      </c>
      <c r="M13" s="19">
        <f t="shared" si="6"/>
        <v>655555.21135808015</v>
      </c>
      <c r="N13" s="20">
        <f t="shared" si="7"/>
        <v>10.17240845210814</v>
      </c>
      <c r="O13" s="27">
        <f>SUM(pStage1Remission*F12,pStage2Remission*I12,(1-SUM(pRemissionStage1_trtC, pRemissionStage2_trtC))*O12)*(1-'Life Table - Male'!B57)</f>
        <v>239.14567770462267</v>
      </c>
      <c r="P13" s="19">
        <f t="shared" si="8"/>
        <v>2989506.9717049012</v>
      </c>
      <c r="Q13" s="20">
        <f t="shared" si="9"/>
        <v>225.39933516822666</v>
      </c>
      <c r="R13" s="27">
        <f>SUM(pStage3Death*L12*(1-'Life Table - Male'!B57),R12)</f>
        <v>98.542044531399526</v>
      </c>
      <c r="S13" s="19">
        <f t="shared" si="10"/>
        <v>0</v>
      </c>
      <c r="T13" s="23">
        <f t="shared" si="11"/>
        <v>0</v>
      </c>
      <c r="U13" s="239">
        <f>SUM(B12*'Life Table - Male'!B57,U12)</f>
        <v>55.608518046975121</v>
      </c>
      <c r="V13" s="49">
        <f t="shared" si="13"/>
        <v>0</v>
      </c>
      <c r="W13" s="54">
        <v>1.3333333333333333</v>
      </c>
      <c r="X13" s="13">
        <f t="shared" si="14"/>
        <v>4266424.9382271431</v>
      </c>
      <c r="Y13" s="25">
        <f t="shared" si="14"/>
        <v>778.40147741874603</v>
      </c>
    </row>
    <row r="14" spans="1:25" x14ac:dyDescent="0.2">
      <c r="A14" s="10">
        <v>11</v>
      </c>
      <c r="B14" s="15">
        <f t="shared" si="12"/>
        <v>825.52968575108048</v>
      </c>
      <c r="C14" s="27">
        <f>(1-SUM(pHealthyStage1,pHealthyStage2,pHealthyStage3))*C13*(1-'Life Table - Male'!B58)</f>
        <v>373.08731433264489</v>
      </c>
      <c r="D14" s="19">
        <f t="shared" si="2"/>
        <v>0</v>
      </c>
      <c r="E14" s="20">
        <f t="shared" si="1"/>
        <v>179.68414260199535</v>
      </c>
      <c r="F14" s="27">
        <f>SUM(pHealthyStage1*C13,(1-SUM(pStage1Remission,pStage1Stage2))*F13,pStage2Stage1*I13,pRemissionStage1_trtC*O13)*(1-'Life Table - Male'!B58)</f>
        <v>103.20437178531084</v>
      </c>
      <c r="G14" s="239">
        <f t="shared" si="15"/>
        <v>79527.5029500987</v>
      </c>
      <c r="H14" s="20">
        <f t="shared" si="3"/>
        <v>43.740126622554286</v>
      </c>
      <c r="I14" s="27">
        <f>SUM(pHealthyStage2*C13,pStage1Stage2*F13,(1-SUM(pStage2Remission, pStage2Stage1, pStage2Stage3))*I13,pStage3Stage2*L13,pRemissionStage2_trtC*O13)*(1-'Life Table - Male'!B58)</f>
        <v>62.499215550700335</v>
      </c>
      <c r="J14" s="19">
        <f t="shared" si="4"/>
        <v>216723.66280587911</v>
      </c>
      <c r="K14" s="20">
        <f t="shared" si="5"/>
        <v>21.371361193357526</v>
      </c>
      <c r="L14" s="27">
        <f>SUM(pHealthyStage3*C13,pStage2Stage3*I13,(1-SUM(pStage3Death, pStage3Stage2))*L13)*(1-'Life Table - Male'!B58)</f>
        <v>27.614238057508942</v>
      </c>
      <c r="M14" s="19">
        <f t="shared" si="6"/>
        <v>308546.28276502632</v>
      </c>
      <c r="N14" s="20">
        <f t="shared" si="7"/>
        <v>4.7877871463538559</v>
      </c>
      <c r="O14" s="27">
        <f>SUM(pStage1Remission*F13,pStage2Remission*I13,(1-SUM(pRemissionStage1_trtC, pRemissionStage2_trtC))*O13)*(1-'Life Table - Male'!B58)</f>
        <v>259.1245460249155</v>
      </c>
      <c r="P14" s="19">
        <f t="shared" si="8"/>
        <v>1572455.5168341112</v>
      </c>
      <c r="Q14" s="20">
        <f t="shared" si="9"/>
        <v>118.5581540470163</v>
      </c>
      <c r="R14" s="27">
        <f>SUM(pStage3Death*L13*(1-'Life Table - Male'!B58),R13)</f>
        <v>111.24304120631912</v>
      </c>
      <c r="S14" s="19">
        <f t="shared" si="10"/>
        <v>0</v>
      </c>
      <c r="T14" s="23">
        <f t="shared" si="11"/>
        <v>0</v>
      </c>
      <c r="U14" s="239">
        <f>SUM(B13*'Life Table - Male'!B58,U13)</f>
        <v>63.22727304260075</v>
      </c>
      <c r="V14" s="49">
        <f t="shared" si="13"/>
        <v>0</v>
      </c>
      <c r="W14" s="54">
        <v>0.66666666666666663</v>
      </c>
      <c r="X14" s="13">
        <f t="shared" si="14"/>
        <v>2177252.965355115</v>
      </c>
      <c r="Y14" s="25">
        <f t="shared" si="14"/>
        <v>368.1415716112773</v>
      </c>
    </row>
    <row r="15" spans="1:25" x14ac:dyDescent="0.2">
      <c r="A15" s="10">
        <v>12</v>
      </c>
      <c r="B15" s="15">
        <f t="shared" si="12"/>
        <v>805.18167972291258</v>
      </c>
      <c r="C15" s="27">
        <f>(1-SUM(pHealthyStage1,pHealthyStage2,pHealthyStage3))*C14*(1-'Life Table - Male'!B59)</f>
        <v>339.89633551834248</v>
      </c>
      <c r="D15" s="19">
        <f t="shared" si="2"/>
        <v>0</v>
      </c>
      <c r="E15" s="20">
        <f t="shared" si="1"/>
        <v>317.86193477851424</v>
      </c>
      <c r="F15" s="27">
        <f>SUM(pHealthyStage1*C14,(1-SUM(pStage1Remission,pStage1Stage2))*F14,pStage2Stage1*I14,pRemissionStage1_trtC*O14)*(1-'Life Table - Male'!B59)</f>
        <v>100.82643722512258</v>
      </c>
      <c r="G15" s="239">
        <f t="shared" si="15"/>
        <v>150864.28685064704</v>
      </c>
      <c r="H15" s="20">
        <f t="shared" si="3"/>
        <v>82.975357767855883</v>
      </c>
      <c r="I15" s="27">
        <f>SUM(pHealthyStage2*C14,pStage1Stage2*F14,(1-SUM(pStage2Remission, pStage2Stage1, pStage2Stage3))*I14,pStage3Stage2*L14,pRemissionStage2_trtC*O14)*(1-'Life Table - Male'!B59)</f>
        <v>61.242396076186552</v>
      </c>
      <c r="J15" s="19">
        <f t="shared" si="4"/>
        <v>412360.17045740481</v>
      </c>
      <c r="K15" s="20">
        <f t="shared" si="5"/>
        <v>40.663294586771862</v>
      </c>
      <c r="L15" s="27">
        <f>SUM(pHealthyStage3*C14,pStage2Stage3*I14,(1-SUM(pStage3Death, pStage3Stage2))*L14)*(1-'Life Table - Male'!B59)</f>
        <v>26.650677803801646</v>
      </c>
      <c r="M15" s="19">
        <f t="shared" si="6"/>
        <v>578213.57541084359</v>
      </c>
      <c r="N15" s="20">
        <f t="shared" si="7"/>
        <v>8.9722796184441247</v>
      </c>
      <c r="O15" s="27">
        <f>SUM(pStage1Remission*F14,pStage2Remission*I14,(1-SUM(pRemissionStage1_trtC, pRemissionStage2_trtC))*O14)*(1-'Life Table - Male'!B59)</f>
        <v>276.56583309945944</v>
      </c>
      <c r="P15" s="19">
        <f t="shared" si="8"/>
        <v>3258825.5428641131</v>
      </c>
      <c r="Q15" s="20">
        <f t="shared" si="9"/>
        <v>245.70510045404032</v>
      </c>
      <c r="R15" s="27">
        <f>SUM(pStage3Death*L14*(1-'Life Table - Male'!B59),R14)</f>
        <v>123.54838497452211</v>
      </c>
      <c r="S15" s="19">
        <f t="shared" si="10"/>
        <v>0</v>
      </c>
      <c r="T15" s="23">
        <f t="shared" si="11"/>
        <v>0</v>
      </c>
      <c r="U15" s="239">
        <f>SUM(B14*'Life Table - Male'!B59,U14)</f>
        <v>71.269935302565557</v>
      </c>
      <c r="V15" s="49">
        <f t="shared" si="13"/>
        <v>0</v>
      </c>
      <c r="W15" s="54">
        <v>1.3333333333333333</v>
      </c>
      <c r="X15" s="13">
        <f t="shared" si="14"/>
        <v>4400263.575583009</v>
      </c>
      <c r="Y15" s="25">
        <f t="shared" si="14"/>
        <v>696.17796720562649</v>
      </c>
    </row>
    <row r="16" spans="1:25" x14ac:dyDescent="0.2">
      <c r="A16" s="10">
        <v>13</v>
      </c>
      <c r="B16" s="15">
        <f t="shared" si="12"/>
        <v>784.8271880118848</v>
      </c>
      <c r="C16" s="27">
        <f>(1-SUM(pHealthyStage1,pHealthyStage2,pHealthyStage3))*C15*(1-'Life Table - Male'!B60)</f>
        <v>309.40814001221196</v>
      </c>
      <c r="D16" s="19">
        <f t="shared" si="2"/>
        <v>0</v>
      </c>
      <c r="E16" s="20">
        <f t="shared" si="1"/>
        <v>140.46125836407501</v>
      </c>
      <c r="F16" s="27">
        <f>SUM(pHealthyStage1*C15,(1-SUM(pStage1Remission,pStage1Stage2))*F15,pStage2Stage1*I15,pRemissionStage1_trtC*O15)*(1-'Life Table - Male'!B60)</f>
        <v>98.374315199532688</v>
      </c>
      <c r="G16" s="239">
        <f t="shared" si="15"/>
        <v>71453.996539768559</v>
      </c>
      <c r="H16" s="20">
        <f t="shared" si="3"/>
        <v>39.29969809687271</v>
      </c>
      <c r="I16" s="27">
        <f>SUM(pHealthyStage2*C15,pStage1Stage2*F15,(1-SUM(pStage2Remission, pStage2Stage1, pStage2Stage3))*I15,pStage3Stage2*L15,pRemissionStage2_trtC*O15)*(1-'Life Table - Male'!B60)</f>
        <v>59.852182961730392</v>
      </c>
      <c r="J16" s="19">
        <f t="shared" si="4"/>
        <v>195630.83610867435</v>
      </c>
      <c r="K16" s="20">
        <f t="shared" si="5"/>
        <v>19.291374116272056</v>
      </c>
      <c r="L16" s="27">
        <f>SUM(pHealthyStage3*C15,pStage2Stage3*I15,(1-SUM(pStage3Death, pStage3Stage2))*L15)*(1-'Life Table - Male'!B60)</f>
        <v>25.637515080162782</v>
      </c>
      <c r="M16" s="19">
        <f t="shared" si="6"/>
        <v>270015.52383468399</v>
      </c>
      <c r="N16" s="20">
        <f t="shared" si="7"/>
        <v>4.1898960595037158</v>
      </c>
      <c r="O16" s="27">
        <f>SUM(pStage1Remission*F15,pStage2Remission*I15,(1-SUM(pRemissionStage1_trtC, pRemissionStage2_trtC))*O15)*(1-'Life Table - Male'!B60)</f>
        <v>291.5550347582469</v>
      </c>
      <c r="P16" s="19">
        <f t="shared" si="8"/>
        <v>1667692.2494432405</v>
      </c>
      <c r="Q16" s="20">
        <f t="shared" si="9"/>
        <v>125.73870134691099</v>
      </c>
      <c r="R16" s="27">
        <f>SUM(pStage3Death*L15*(1-'Life Table - Male'!B60),R15)</f>
        <v>135.41476350528853</v>
      </c>
      <c r="S16" s="19">
        <f t="shared" si="10"/>
        <v>0</v>
      </c>
      <c r="T16" s="23">
        <f t="shared" si="11"/>
        <v>0</v>
      </c>
      <c r="U16" s="239">
        <f>SUM(B15*'Life Table - Male'!B60,U15)</f>
        <v>79.758048482827107</v>
      </c>
      <c r="V16" s="49">
        <f t="shared" si="13"/>
        <v>0</v>
      </c>
      <c r="W16" s="54">
        <v>0.66666666666666663</v>
      </c>
      <c r="X16" s="13">
        <f t="shared" si="14"/>
        <v>2204792.6059263675</v>
      </c>
      <c r="Y16" s="25">
        <f t="shared" si="14"/>
        <v>328.9809279836345</v>
      </c>
    </row>
    <row r="17" spans="1:25" x14ac:dyDescent="0.2">
      <c r="A17" s="10">
        <v>14</v>
      </c>
      <c r="B17" s="15">
        <f t="shared" si="12"/>
        <v>764.45065528655164</v>
      </c>
      <c r="C17" s="27">
        <f>(1-SUM(pHealthyStage1,pHealthyStage2,pHealthyStage3))*C16*(1-'Life Table - Male'!B61)</f>
        <v>281.40152954292768</v>
      </c>
      <c r="D17" s="19">
        <f t="shared" si="2"/>
        <v>0</v>
      </c>
      <c r="E17" s="20">
        <f t="shared" si="1"/>
        <v>248.05274902056493</v>
      </c>
      <c r="F17" s="27">
        <f>SUM(pHealthyStage1*C16,(1-SUM(pStage1Remission,pStage1Stage2))*F16,pStage2Stage1*I16,pRemissionStage1_trtC*O16)*(1-'Life Table - Male'!B61)</f>
        <v>95.875426578684213</v>
      </c>
      <c r="G17" s="239">
        <f t="shared" si="15"/>
        <v>135221.23019013085</v>
      </c>
      <c r="H17" s="20">
        <f t="shared" si="3"/>
        <v>74.371676604571974</v>
      </c>
      <c r="I17" s="27">
        <f>SUM(pHealthyStage2*C16,pStage1Stage2*F16,(1-SUM(pStage2Remission, pStage2Stage1, pStage2Stage3))*I16,pStage3Stage2*L16,pRemissionStage2_trtC*O16)*(1-'Life Table - Male'!B61)</f>
        <v>58.374868422459066</v>
      </c>
      <c r="J17" s="19">
        <f t="shared" si="4"/>
        <v>370489.58329350472</v>
      </c>
      <c r="K17" s="20">
        <f t="shared" si="5"/>
        <v>36.534389463665043</v>
      </c>
      <c r="L17" s="27">
        <f>SUM(pHealthyStage3*C16,pStage2Stage3*I16,(1-SUM(pStage3Death, pStage3Stage2))*L16)*(1-'Life Table - Male'!B61)</f>
        <v>24.606135722804975</v>
      </c>
      <c r="M17" s="19">
        <f t="shared" si="6"/>
        <v>503209.68459023273</v>
      </c>
      <c r="N17" s="20">
        <f t="shared" si="7"/>
        <v>7.8084261401932658</v>
      </c>
      <c r="O17" s="27">
        <f>SUM(pStage1Remission*F16,pStage2Remission*I16,(1-SUM(pRemissionStage1_trtC, pRemissionStage2_trtC))*O16)*(1-'Life Table - Male'!B61)</f>
        <v>304.19269501967574</v>
      </c>
      <c r="P17" s="19">
        <f t="shared" si="8"/>
        <v>3378601.0789013356</v>
      </c>
      <c r="Q17" s="20">
        <f t="shared" si="9"/>
        <v>254.73579563144986</v>
      </c>
      <c r="R17" s="27">
        <f>SUM(pStage3Death*L16*(1-'Life Table - Male'!B61),R16)</f>
        <v>146.81976466762276</v>
      </c>
      <c r="S17" s="19">
        <f t="shared" si="10"/>
        <v>0</v>
      </c>
      <c r="T17" s="23">
        <f t="shared" si="11"/>
        <v>0</v>
      </c>
      <c r="U17" s="239">
        <f>SUM(B16*'Life Table - Male'!B61,U16)</f>
        <v>88.729580045825799</v>
      </c>
      <c r="V17" s="49">
        <f t="shared" si="13"/>
        <v>0</v>
      </c>
      <c r="W17" s="54">
        <v>1.3333333333333333</v>
      </c>
      <c r="X17" s="13">
        <f t="shared" si="14"/>
        <v>4387521.5769752041</v>
      </c>
      <c r="Y17" s="25">
        <f t="shared" si="14"/>
        <v>621.50303686044504</v>
      </c>
    </row>
    <row r="18" spans="1:25" x14ac:dyDescent="0.2">
      <c r="A18" s="10">
        <v>15</v>
      </c>
      <c r="B18" s="15">
        <f t="shared" si="12"/>
        <v>744.0362859158796</v>
      </c>
      <c r="C18" s="27">
        <f>(1-SUM(pHealthyStage1,pHealthyStage2,pHealthyStage3))*C17*(1-'Life Table - Male'!B62)</f>
        <v>255.67927392195537</v>
      </c>
      <c r="D18" s="19">
        <f t="shared" si="2"/>
        <v>0</v>
      </c>
      <c r="E18" s="20">
        <f t="shared" si="1"/>
        <v>109.40719777901673</v>
      </c>
      <c r="F18" s="27">
        <f>SUM(pHealthyStage1*C17,(1-SUM(pStage1Remission,pStage1Stage2))*F17,pStage2Stage1*I17,pRemissionStage1_trtC*O17)*(1-'Life Table - Male'!B62)</f>
        <v>93.345499975834713</v>
      </c>
      <c r="G18" s="239">
        <f t="shared" si="15"/>
        <v>63909.252688223496</v>
      </c>
      <c r="H18" s="20">
        <f t="shared" si="3"/>
        <v>35.15008897852293</v>
      </c>
      <c r="I18" s="27">
        <f>SUM(pHealthyStage2*C17,pStage1Stage2*F17,(1-SUM(pStage2Remission, pStage2Stage1, pStage2Stage3))*I17,pStage3Stage2*L17,pRemissionStage2_trtC*O17)*(1-'Life Table - Male'!B62)</f>
        <v>56.840998473707828</v>
      </c>
      <c r="J18" s="19">
        <f t="shared" si="4"/>
        <v>175123.55506707824</v>
      </c>
      <c r="K18" s="20">
        <f t="shared" si="5"/>
        <v>17.269128346892437</v>
      </c>
      <c r="L18" s="27">
        <f>SUM(pHealthyStage3*C17,pStage2Stage3*I17,(1-SUM(pStage3Death, pStage3Stage2))*L17)*(1-'Life Table - Male'!B62)</f>
        <v>23.577293130252329</v>
      </c>
      <c r="M18" s="19">
        <f t="shared" si="6"/>
        <v>234062.74730927116</v>
      </c>
      <c r="N18" s="20">
        <f t="shared" si="7"/>
        <v>3.6320081479024831</v>
      </c>
      <c r="O18" s="27">
        <f>SUM(pStage1Remission*F17,pStage2Remission*I17,(1-SUM(pRemissionStage1_trtC, pRemissionStage2_trtC))*O17)*(1-'Life Table - Male'!B62)</f>
        <v>314.59322041412941</v>
      </c>
      <c r="P18" s="19">
        <f t="shared" si="8"/>
        <v>1696173.5035796706</v>
      </c>
      <c r="Q18" s="20">
        <f t="shared" si="9"/>
        <v>127.88609749211803</v>
      </c>
      <c r="R18" s="27">
        <f>SUM(pStage3Death*L17*(1-'Life Table - Male'!B62),R17)</f>
        <v>157.75522758546819</v>
      </c>
      <c r="S18" s="19">
        <f t="shared" si="10"/>
        <v>0</v>
      </c>
      <c r="T18" s="23">
        <f t="shared" si="11"/>
        <v>0</v>
      </c>
      <c r="U18" s="239">
        <f>SUM(B17*'Life Table - Male'!B62,U17)</f>
        <v>98.208486498652377</v>
      </c>
      <c r="V18" s="49">
        <f t="shared" si="13"/>
        <v>0</v>
      </c>
      <c r="W18" s="54">
        <v>0.66666666666666663</v>
      </c>
      <c r="X18" s="13">
        <f t="shared" si="14"/>
        <v>2169269.0586442435</v>
      </c>
      <c r="Y18" s="25">
        <f t="shared" si="14"/>
        <v>293.34452074445261</v>
      </c>
    </row>
    <row r="19" spans="1:25" x14ac:dyDescent="0.2">
      <c r="A19" s="10">
        <v>16</v>
      </c>
      <c r="B19" s="15">
        <f t="shared" si="12"/>
        <v>723.66454071686121</v>
      </c>
      <c r="C19" s="27">
        <f>(1-SUM(pHealthyStage1,pHealthyStage2,pHealthyStage3))*C18*(1-'Life Table - Male'!B63)</f>
        <v>232.09407003538257</v>
      </c>
      <c r="D19" s="19">
        <f t="shared" si="2"/>
        <v>0</v>
      </c>
      <c r="E19" s="20">
        <f t="shared" si="1"/>
        <v>192.84446831345093</v>
      </c>
      <c r="F19" s="27">
        <f>SUM(pHealthyStage1*C18,(1-SUM(pStage1Remission,pStage1Stage2))*F18,pStage2Stage1*I18,pRemissionStage1_trtC*O18)*(1-'Life Table - Male'!B63)</f>
        <v>90.805319909895573</v>
      </c>
      <c r="G19" s="239">
        <f t="shared" si="15"/>
        <v>120718.66298272625</v>
      </c>
      <c r="H19" s="20">
        <f t="shared" si="3"/>
        <v>66.395264640499434</v>
      </c>
      <c r="I19" s="27">
        <f>SUM(pHealthyStage2*C18,pStage1Stage2*F18,(1-SUM(pStage2Remission, pStage2Stage1, pStage2Stage3))*I18,pStage3Stage2*L18,pRemissionStage2_trtC*O18)*(1-'Life Table - Male'!B63)</f>
        <v>55.277787006702582</v>
      </c>
      <c r="J19" s="19">
        <f t="shared" si="4"/>
        <v>330693.97762395121</v>
      </c>
      <c r="K19" s="20">
        <f t="shared" si="5"/>
        <v>32.610100571250747</v>
      </c>
      <c r="L19" s="27">
        <f>SUM(pHealthyStage3*C18,pStage2Stage3*I18,(1-SUM(pStage3Death, pStage3Stage2))*L18)*(1-'Life Table - Male'!B63)</f>
        <v>22.567166462191988</v>
      </c>
      <c r="M19" s="19">
        <f t="shared" si="6"/>
        <v>435018.93278115726</v>
      </c>
      <c r="N19" s="20">
        <f t="shared" si="7"/>
        <v>6.7502937845351969</v>
      </c>
      <c r="O19" s="27">
        <f>SUM(pStage1Remission*F18,pStage2Remission*I18,(1-SUM(pRemissionStage1_trtC, pRemissionStage2_trtC))*O18)*(1-'Life Table - Male'!B63)</f>
        <v>322.92019730268851</v>
      </c>
      <c r="P19" s="19">
        <f t="shared" si="8"/>
        <v>3380717.6082199267</v>
      </c>
      <c r="Q19" s="20">
        <f t="shared" si="9"/>
        <v>254.89537522293097</v>
      </c>
      <c r="R19" s="27">
        <f>SUM(pStage3Death*L18*(1-'Life Table - Male'!B63),R18)</f>
        <v>168.22379247922723</v>
      </c>
      <c r="S19" s="19">
        <f t="shared" si="10"/>
        <v>0</v>
      </c>
      <c r="T19" s="23">
        <f t="shared" si="11"/>
        <v>0</v>
      </c>
      <c r="U19" s="239">
        <f>SUM(B18*'Life Table - Male'!B63,U18)</f>
        <v>108.11166680391167</v>
      </c>
      <c r="V19" s="49">
        <f t="shared" si="13"/>
        <v>0</v>
      </c>
      <c r="W19" s="54">
        <v>1.3333333333333333</v>
      </c>
      <c r="X19" s="13">
        <f t="shared" si="14"/>
        <v>4267149.1816077614</v>
      </c>
      <c r="Y19" s="25">
        <f t="shared" si="14"/>
        <v>553.49550253266727</v>
      </c>
    </row>
    <row r="20" spans="1:25" x14ac:dyDescent="0.2">
      <c r="A20" s="10">
        <v>17</v>
      </c>
      <c r="B20" s="15">
        <f t="shared" si="12"/>
        <v>703.26591549512227</v>
      </c>
      <c r="C20" s="27">
        <f>(1-SUM(pHealthyStage1,pHealthyStage2,pHealthyStage3))*C19*(1-'Life Table - Male'!B64)</f>
        <v>210.46107938006654</v>
      </c>
      <c r="D20" s="19">
        <f t="shared" si="2"/>
        <v>0</v>
      </c>
      <c r="E20" s="20">
        <f t="shared" si="1"/>
        <v>84.888276156788066</v>
      </c>
      <c r="F20" s="27">
        <f>SUM(pHealthyStage1*C19,(1-SUM(pStage1Remission,pStage1Stage2))*F19,pStage2Stage1*I19,pRemissionStage1_trtC*O19)*(1-'Life Table - Male'!B64)</f>
        <v>88.252619560254232</v>
      </c>
      <c r="G20" s="239">
        <f t="shared" si="15"/>
        <v>56953.90530435813</v>
      </c>
      <c r="H20" s="20">
        <f t="shared" si="3"/>
        <v>31.324647917396973</v>
      </c>
      <c r="I20" s="27">
        <f>SUM(pHealthyStage2*C19,pStage1Stage2*F19,(1-SUM(pStage2Remission, pStage2Stage1, pStage2Stage3))*I19,pStage3Stage2*L19,pRemissionStage2_trtC*O19)*(1-'Life Table - Male'!B64)</f>
        <v>53.693772698171131</v>
      </c>
      <c r="J20" s="19">
        <f t="shared" si="4"/>
        <v>155930.95450485364</v>
      </c>
      <c r="K20" s="20">
        <f t="shared" si="5"/>
        <v>15.376524680339733</v>
      </c>
      <c r="L20" s="27">
        <f>SUM(pHealthyStage3*C19,pStage2Stage3*I19,(1-SUM(pStage3Death, pStage3Stage2))*L19)*(1-'Life Table - Male'!B64)</f>
        <v>21.581842253792168</v>
      </c>
      <c r="M20" s="19">
        <f t="shared" si="6"/>
        <v>201953.98152532455</v>
      </c>
      <c r="N20" s="20">
        <f t="shared" si="7"/>
        <v>3.1337686788412427</v>
      </c>
      <c r="O20" s="27">
        <f>SUM(pStage1Remission*F19,pStage2Remission*I19,(1-SUM(pRemissionStage1_trtC, pRemissionStage2_trtC))*O19)*(1-'Life Table - Male'!B64)</f>
        <v>329.27660160283818</v>
      </c>
      <c r="P20" s="19">
        <f t="shared" si="8"/>
        <v>1673429.1772933882</v>
      </c>
      <c r="Q20" s="20">
        <f t="shared" si="9"/>
        <v>126.17124749434277</v>
      </c>
      <c r="R20" s="27">
        <f>SUM(pStage3Death*L19*(1-'Life Table - Male'!B64),R19)</f>
        <v>178.23322526971231</v>
      </c>
      <c r="S20" s="19">
        <f t="shared" si="10"/>
        <v>0</v>
      </c>
      <c r="T20" s="23">
        <f t="shared" si="11"/>
        <v>0</v>
      </c>
      <c r="U20" s="239">
        <f>SUM(B19*'Life Table - Male'!B64,U19)</f>
        <v>118.50085923516566</v>
      </c>
      <c r="V20" s="49">
        <f t="shared" si="13"/>
        <v>0</v>
      </c>
      <c r="W20" s="54">
        <v>0.66666666666666663</v>
      </c>
      <c r="X20" s="13">
        <f t="shared" si="14"/>
        <v>2088268.0186279244</v>
      </c>
      <c r="Y20" s="25">
        <f t="shared" si="14"/>
        <v>260.89446492770878</v>
      </c>
    </row>
    <row r="21" spans="1:25" x14ac:dyDescent="0.2">
      <c r="A21" s="10">
        <v>18</v>
      </c>
      <c r="B21" s="15">
        <f t="shared" si="12"/>
        <v>682.88101677836232</v>
      </c>
      <c r="C21" s="27">
        <f>(1-SUM(pHealthyStage1,pHealthyStage2,pHealthyStage3))*C20*(1-'Life Table - Male'!B65)</f>
        <v>190.64451985263193</v>
      </c>
      <c r="D21" s="19">
        <f t="shared" si="2"/>
        <v>0</v>
      </c>
      <c r="E21" s="20">
        <f t="shared" si="1"/>
        <v>149.31141724404179</v>
      </c>
      <c r="F21" s="27">
        <f>SUM(pHealthyStage1*C20,(1-SUM(pStage1Remission,pStage1Stage2))*F20,pStage2Stage1*I20,pRemissionStage1_trtC*O20)*(1-'Life Table - Male'!B65)</f>
        <v>85.696386134211664</v>
      </c>
      <c r="G21" s="239">
        <f t="shared" si="15"/>
        <v>107386.86956253591</v>
      </c>
      <c r="H21" s="20">
        <f t="shared" si="3"/>
        <v>59.062778259394761</v>
      </c>
      <c r="I21" s="27">
        <f>SUM(pHealthyStage2*C20,pStage1Stage2*F20,(1-SUM(pStage2Remission, pStage2Stage1, pStage2Stage3))*I20,pStage3Stage2*L20,pRemissionStage2_trtC*O20)*(1-'Life Table - Male'!B65)</f>
        <v>52.101059262537248</v>
      </c>
      <c r="J21" s="19">
        <f t="shared" si="4"/>
        <v>293797.26011434325</v>
      </c>
      <c r="K21" s="20">
        <f t="shared" si="5"/>
        <v>28.97167426127552</v>
      </c>
      <c r="L21" s="27">
        <f>SUM(pHealthyStage3*C20,pStage2Stage3*I20,(1-SUM(pStage3Death, pStage3Stage2))*L20)*(1-'Life Table - Male'!B65)</f>
        <v>20.627205495552772</v>
      </c>
      <c r="M21" s="19">
        <f t="shared" si="6"/>
        <v>374797.83367481478</v>
      </c>
      <c r="N21" s="20">
        <f t="shared" si="7"/>
        <v>5.8158284535747118</v>
      </c>
      <c r="O21" s="27">
        <f>SUM(pStage1Remission*F20,pStage2Remission*I20,(1-SUM(pRemissionStage1_trtC, pRemissionStage2_trtC))*O20)*(1-'Life Table - Male'!B65)</f>
        <v>333.81184603342865</v>
      </c>
      <c r="P21" s="19">
        <f t="shared" si="8"/>
        <v>3294131.8757503433</v>
      </c>
      <c r="Q21" s="20">
        <f t="shared" si="9"/>
        <v>248.36708587006552</v>
      </c>
      <c r="R21" s="27">
        <f>SUM(pStage3Death*L20*(1-'Life Table - Male'!B65),R20)</f>
        <v>187.79559942520135</v>
      </c>
      <c r="S21" s="19">
        <f t="shared" si="10"/>
        <v>0</v>
      </c>
      <c r="T21" s="23">
        <f t="shared" si="11"/>
        <v>0</v>
      </c>
      <c r="U21" s="239">
        <f>SUM(B20*'Life Table - Male'!B65,U20)</f>
        <v>129.32338379643662</v>
      </c>
      <c r="V21" s="49">
        <f t="shared" si="13"/>
        <v>0</v>
      </c>
      <c r="W21" s="54">
        <v>1.3333333333333333</v>
      </c>
      <c r="X21" s="13">
        <f t="shared" si="14"/>
        <v>4070113.8391020373</v>
      </c>
      <c r="Y21" s="25">
        <f t="shared" si="14"/>
        <v>491.52878408835232</v>
      </c>
    </row>
    <row r="22" spans="1:25" x14ac:dyDescent="0.2">
      <c r="A22" s="10">
        <v>19</v>
      </c>
      <c r="B22" s="15">
        <f t="shared" si="12"/>
        <v>662.55504830285577</v>
      </c>
      <c r="C22" s="27">
        <f>(1-SUM(pHealthyStage1,pHealthyStage2,pHealthyStage3))*C21*(1-'Life Table - Male'!B66)</f>
        <v>172.51737141995449</v>
      </c>
      <c r="D22" s="19">
        <f t="shared" si="2"/>
        <v>0</v>
      </c>
      <c r="E22" s="20">
        <f t="shared" si="1"/>
        <v>65.589497535415319</v>
      </c>
      <c r="F22" s="27">
        <f>SUM(pHealthyStage1*C21,(1-SUM(pStage1Remission,pStage1Stage2))*F21,pStage2Stage1*I21,pRemissionStage1_trtC*O21)*(1-'Life Table - Male'!B66)</f>
        <v>83.14463503386952</v>
      </c>
      <c r="G22" s="239">
        <f t="shared" si="15"/>
        <v>50577.305135139235</v>
      </c>
      <c r="H22" s="20">
        <f t="shared" si="3"/>
        <v>27.817517824326583</v>
      </c>
      <c r="I22" s="27">
        <f>SUM(pHealthyStage2*C21,pStage1Stage2*F21,(1-SUM(pStage2Remission, pStage2Stage1, pStage2Stage3))*I21,pStage3Stage2*L21,pRemissionStage2_trtC*O21)*(1-'Life Table - Male'!B66)</f>
        <v>50.508860375601628</v>
      </c>
      <c r="J22" s="19">
        <f t="shared" si="4"/>
        <v>138261.58705152062</v>
      </c>
      <c r="K22" s="20">
        <f t="shared" si="5"/>
        <v>13.634128723136058</v>
      </c>
      <c r="L22" s="27">
        <f>SUM(pHealthyStage3*C21,pStage2Stage3*I21,(1-SUM(pStage3Death, pStage3Stage2))*L21)*(1-'Life Table - Male'!B66)</f>
        <v>19.706727415682817</v>
      </c>
      <c r="M22" s="19">
        <f t="shared" si="6"/>
        <v>173821.68912069665</v>
      </c>
      <c r="N22" s="20">
        <f t="shared" si="7"/>
        <v>2.6972331070452933</v>
      </c>
      <c r="O22" s="27">
        <f>SUM(pStage1Remission*F21,pStage2Remission*I21,(1-SUM(pRemissionStage1_trtC, pRemissionStage2_trtC))*O21)*(1-'Life Table - Male'!B66)</f>
        <v>336.67745405774741</v>
      </c>
      <c r="P22" s="19">
        <f t="shared" si="8"/>
        <v>1612820.5597706763</v>
      </c>
      <c r="Q22" s="20">
        <f t="shared" si="9"/>
        <v>121.60155014143987</v>
      </c>
      <c r="R22" s="27">
        <f>SUM(pStage3Death*L21*(1-'Life Table - Male'!B66),R21)</f>
        <v>196.92565851178233</v>
      </c>
      <c r="S22" s="19">
        <f t="shared" si="10"/>
        <v>0</v>
      </c>
      <c r="T22" s="23">
        <f t="shared" si="11"/>
        <v>0</v>
      </c>
      <c r="U22" s="239">
        <f>SUM(B21*'Life Table - Male'!B66,U21)</f>
        <v>140.51929318536207</v>
      </c>
      <c r="V22" s="49">
        <f t="shared" si="13"/>
        <v>0</v>
      </c>
      <c r="W22" s="54">
        <v>0.66666666666666663</v>
      </c>
      <c r="X22" s="13">
        <f t="shared" si="14"/>
        <v>1975481.1410780328</v>
      </c>
      <c r="Y22" s="25">
        <f t="shared" si="14"/>
        <v>231.33992733136313</v>
      </c>
    </row>
    <row r="23" spans="1:25" x14ac:dyDescent="0.2">
      <c r="A23" s="10">
        <v>20</v>
      </c>
      <c r="B23" s="15">
        <f t="shared" si="12"/>
        <v>642.30307994297789</v>
      </c>
      <c r="C23" s="27">
        <f>(1-SUM(pHealthyStage1,pHealthyStage2,pHealthyStage3))*C22*(1-'Life Table - Male'!B67)</f>
        <v>155.95194736396783</v>
      </c>
      <c r="D23" s="19">
        <f t="shared" si="2"/>
        <v>0</v>
      </c>
      <c r="E23" s="20">
        <f t="shared" si="1"/>
        <v>115.12908276476334</v>
      </c>
      <c r="F23" s="27">
        <f>SUM(pHealthyStage1*C22,(1-SUM(pStage1Remission,pStage1Stage2))*F22,pStage2Stage1*I22,pRemissionStage1_trtC*O22)*(1-'Life Table - Male'!B67)</f>
        <v>80.600660912694408</v>
      </c>
      <c r="G23" s="239">
        <f t="shared" si="15"/>
        <v>95203.481000006665</v>
      </c>
      <c r="H23" s="20">
        <f t="shared" si="3"/>
        <v>52.361914550003668</v>
      </c>
      <c r="I23" s="27">
        <f>SUM(pHealthyStage2*C22,pStage1Stage2*F22,(1-SUM(pStage2Remission, pStage2Stage1, pStage2Stage3))*I22,pStage3Stage2*L22,pRemissionStage2_trtC*O22)*(1-'Life Table - Male'!B67)</f>
        <v>48.921938359563917</v>
      </c>
      <c r="J23" s="19">
        <f t="shared" si="4"/>
        <v>260034.15472789385</v>
      </c>
      <c r="K23" s="20">
        <f t="shared" si="5"/>
        <v>25.642256924556193</v>
      </c>
      <c r="L23" s="27">
        <f>SUM(pHealthyStage3*C22,pStage2Stage3*I22,(1-SUM(pStage3Death, pStage3Stage2))*L22)*(1-'Life Table - Male'!B67)</f>
        <v>18.821285019217875</v>
      </c>
      <c r="M23" s="19">
        <f t="shared" si="6"/>
        <v>322352.83856572938</v>
      </c>
      <c r="N23" s="20">
        <f t="shared" si="7"/>
        <v>5.0020268053302841</v>
      </c>
      <c r="O23" s="27">
        <f>SUM(pStage1Remission*F22,pStage2Remission*I22,(1-SUM(pRemissionStage1_trtC, pRemissionStage2_trtC))*O22)*(1-'Life Table - Male'!B67)</f>
        <v>338.00724828753386</v>
      </c>
      <c r="P23" s="19">
        <f t="shared" si="8"/>
        <v>3144059.8243496073</v>
      </c>
      <c r="Q23" s="20">
        <f t="shared" si="9"/>
        <v>237.05212961366087</v>
      </c>
      <c r="R23" s="27">
        <f>SUM(pStage3Death*L22*(1-'Life Table - Male'!B67),R22)</f>
        <v>205.63924940302388</v>
      </c>
      <c r="S23" s="19">
        <f t="shared" si="10"/>
        <v>0</v>
      </c>
      <c r="T23" s="23">
        <f t="shared" si="11"/>
        <v>0</v>
      </c>
      <c r="U23" s="239">
        <f>SUM(B22*'Life Table - Male'!B67,U22)</f>
        <v>152.05767065399843</v>
      </c>
      <c r="V23" s="49">
        <f t="shared" si="13"/>
        <v>0</v>
      </c>
      <c r="W23" s="54">
        <v>1.3333333333333333</v>
      </c>
      <c r="X23" s="13">
        <f t="shared" si="14"/>
        <v>3821650.298643237</v>
      </c>
      <c r="Y23" s="25">
        <f t="shared" si="14"/>
        <v>435.18741065831432</v>
      </c>
    </row>
    <row r="24" spans="1:25" x14ac:dyDescent="0.2">
      <c r="A24" s="10">
        <v>21</v>
      </c>
      <c r="B24" s="15">
        <f t="shared" si="12"/>
        <v>622.19165515808527</v>
      </c>
      <c r="C24" s="27">
        <f>(1-SUM(pHealthyStage1,pHealthyStage2,pHealthyStage3))*C23*(1-'Life Table - Male'!B68)</f>
        <v>140.84052041719275</v>
      </c>
      <c r="D24" s="19">
        <f t="shared" si="2"/>
        <v>0</v>
      </c>
      <c r="E24" s="20">
        <f t="shared" si="1"/>
        <v>50.47247984594506</v>
      </c>
      <c r="F24" s="27">
        <f>SUM(pHealthyStage1*C23,(1-SUM(pStage1Remission,pStage1Stage2))*F23,pStage2Stage1*I23,pRemissionStage1_trtC*O23)*(1-'Life Table - Male'!B68)</f>
        <v>78.07364794979847</v>
      </c>
      <c r="G24" s="239">
        <f t="shared" si="15"/>
        <v>44766.328451192829</v>
      </c>
      <c r="H24" s="20">
        <f t="shared" si="3"/>
        <v>24.621480648156059</v>
      </c>
      <c r="I24" s="27">
        <f>SUM(pHealthyStage2*C23,pStage1Stage2*F23,(1-SUM(pStage2Remission, pStage2Stage1, pStage2Stage3))*I23,pStage3Stage2*L23,pRemissionStage2_trtC*O23)*(1-'Life Table - Male'!B68)</f>
        <v>47.347555750088425</v>
      </c>
      <c r="J24" s="19">
        <f t="shared" si="4"/>
        <v>122167.89268571534</v>
      </c>
      <c r="K24" s="20">
        <f t="shared" si="5"/>
        <v>12.047111639841374</v>
      </c>
      <c r="L24" s="27">
        <f>SUM(pHealthyStage3*C23,pStage2Stage3*I23,(1-SUM(pStage3Death, pStage3Stage2))*L23)*(1-'Life Table - Male'!B68)</f>
        <v>17.972174840333498</v>
      </c>
      <c r="M24" s="19">
        <f t="shared" si="6"/>
        <v>149422.37737922039</v>
      </c>
      <c r="N24" s="20">
        <f t="shared" si="7"/>
        <v>2.3186230972637647</v>
      </c>
      <c r="O24" s="27">
        <f>SUM(pStage1Remission*F23,pStage2Remission*I23,(1-SUM(pRemissionStage1_trtC, pRemissionStage2_trtC))*O23)*(1-'Life Table - Male'!B68)</f>
        <v>337.95775620067207</v>
      </c>
      <c r="P24" s="19">
        <f t="shared" si="8"/>
        <v>1526019.1559215928</v>
      </c>
      <c r="Q24" s="20">
        <f t="shared" si="9"/>
        <v>115.0569998512312</v>
      </c>
      <c r="R24" s="27">
        <f>SUM(pStage3Death*L23*(1-'Life Table - Male'!B68),R23)</f>
        <v>213.95326388984986</v>
      </c>
      <c r="S24" s="19">
        <f t="shared" si="10"/>
        <v>0</v>
      </c>
      <c r="T24" s="23">
        <f t="shared" si="11"/>
        <v>0</v>
      </c>
      <c r="U24" s="239">
        <f>SUM(B23*'Life Table - Male'!B68,U23)</f>
        <v>163.85508095206512</v>
      </c>
      <c r="V24" s="49">
        <f t="shared" si="13"/>
        <v>0</v>
      </c>
      <c r="W24" s="54">
        <v>0.66666666666666663</v>
      </c>
      <c r="X24" s="13">
        <f t="shared" si="14"/>
        <v>1842375.7544377213</v>
      </c>
      <c r="Y24" s="25">
        <f t="shared" si="14"/>
        <v>204.51669508243745</v>
      </c>
    </row>
    <row r="25" spans="1:25" x14ac:dyDescent="0.2">
      <c r="A25" s="10">
        <v>22</v>
      </c>
      <c r="B25" s="15">
        <f t="shared" si="12"/>
        <v>602.03078823895635</v>
      </c>
      <c r="C25" s="27">
        <f>(1-SUM(pHealthyStage1,pHealthyStage2,pHealthyStage3))*C24*(1-'Life Table - Male'!B69)</f>
        <v>127.02584699564626</v>
      </c>
      <c r="D25" s="19">
        <f t="shared" si="2"/>
        <v>0</v>
      </c>
      <c r="E25" s="20">
        <f t="shared" si="1"/>
        <v>88.391782620381989</v>
      </c>
      <c r="F25" s="27">
        <f>SUM(pHealthyStage1*C24,(1-SUM(pStage1Remission,pStage1Stage2))*F24,pStage2Stage1*I24,pRemissionStage1_trtC*O24)*(1-'Life Table - Male'!B69)</f>
        <v>75.540245721341236</v>
      </c>
      <c r="G25" s="239">
        <f t="shared" si="15"/>
        <v>84104.293881164383</v>
      </c>
      <c r="H25" s="20">
        <f t="shared" si="3"/>
        <v>46.257361634640411</v>
      </c>
      <c r="I25" s="27">
        <f>SUM(pHealthyStage2*C24,pStage1Stage2*F24,(1-SUM(pStage2Remission, pStage2Stage1, pStage2Stage3))*I24,pStage3Stage2*L24,pRemissionStage2_trtC*O24)*(1-'Life Table - Male'!B69)</f>
        <v>45.772530216664748</v>
      </c>
      <c r="J25" s="19">
        <f t="shared" si="4"/>
        <v>229328.06655838923</v>
      </c>
      <c r="K25" s="20">
        <f t="shared" si="5"/>
        <v>22.614295452285603</v>
      </c>
      <c r="L25" s="27">
        <f>SUM(pHealthyStage3*C24,pStage2Stage3*I24,(1-SUM(pStage3Death, pStage3Stage2))*L24)*(1-'Life Table - Male'!B69)</f>
        <v>17.152639467077208</v>
      </c>
      <c r="M25" s="19">
        <f t="shared" si="6"/>
        <v>276910.06222730409</v>
      </c>
      <c r="N25" s="20">
        <f t="shared" si="7"/>
        <v>4.2968802759409259</v>
      </c>
      <c r="O25" s="27">
        <f>SUM(pStage1Remission*F24,pStage2Remission*I24,(1-SUM(pRemissionStage1_trtC, pRemissionStage2_trtC))*O24)*(1-'Life Table - Male'!B69)</f>
        <v>336.53952583822689</v>
      </c>
      <c r="P25" s="19">
        <f t="shared" si="8"/>
        <v>2950709.2403972694</v>
      </c>
      <c r="Q25" s="20">
        <f t="shared" si="9"/>
        <v>222.4741093950322</v>
      </c>
      <c r="R25" s="27">
        <f>SUM(pStage3Death*L24*(1-'Life Table - Male'!B69),R24)</f>
        <v>221.88174141850175</v>
      </c>
      <c r="S25" s="19">
        <f t="shared" si="10"/>
        <v>0</v>
      </c>
      <c r="T25" s="23">
        <f t="shared" si="11"/>
        <v>0</v>
      </c>
      <c r="U25" s="239">
        <f>SUM(B24*'Life Table - Male'!B69,U24)</f>
        <v>176.08747034254208</v>
      </c>
      <c r="V25" s="49">
        <f t="shared" si="13"/>
        <v>0</v>
      </c>
      <c r="W25" s="54">
        <v>1.3333333333333333</v>
      </c>
      <c r="X25" s="13">
        <f t="shared" si="14"/>
        <v>3541051.6630641269</v>
      </c>
      <c r="Y25" s="25">
        <f t="shared" si="14"/>
        <v>384.03442937828117</v>
      </c>
    </row>
    <row r="26" spans="1:25" x14ac:dyDescent="0.2">
      <c r="A26" s="10">
        <v>23</v>
      </c>
      <c r="B26" s="15">
        <f t="shared" si="12"/>
        <v>581.83352110473436</v>
      </c>
      <c r="C26" s="27">
        <f>(1-SUM(pHealthyStage1,pHealthyStage2,pHealthyStage3))*C25*(1-'Life Table - Male'!B70)</f>
        <v>114.41002817830697</v>
      </c>
      <c r="D26" s="19">
        <f t="shared" si="2"/>
        <v>0</v>
      </c>
      <c r="E26" s="20">
        <f t="shared" si="1"/>
        <v>38.647078143704661</v>
      </c>
      <c r="F26" s="27">
        <f>SUM(pHealthyStage1*C25,(1-SUM(pStage1Remission,pStage1Stage2))*F25,pStage2Stage1*I25,pRemissionStage1_trtC*O25)*(1-'Life Table - Male'!B70)</f>
        <v>73.002373488282473</v>
      </c>
      <c r="G26" s="239">
        <f t="shared" si="15"/>
        <v>39455.680279781795</v>
      </c>
      <c r="H26" s="20">
        <f t="shared" si="3"/>
        <v>21.700624153879986</v>
      </c>
      <c r="I26" s="27">
        <f>SUM(pHealthyStage2*C25,pStage1Stage2*F25,(1-SUM(pStage2Remission, pStage2Stage1, pStage2Stage3))*I25,pStage3Stage2*L25,pRemissionStage2_trtC*O25)*(1-'Life Table - Male'!B70)</f>
        <v>44.198556016759738</v>
      </c>
      <c r="J26" s="19">
        <f t="shared" si="4"/>
        <v>107496.209405759</v>
      </c>
      <c r="K26" s="20">
        <f t="shared" si="5"/>
        <v>10.600320649734568</v>
      </c>
      <c r="L26" s="27">
        <f>SUM(pHealthyStage3*C25,pStage2Stage3*I25,(1-SUM(pStage3Death, pStage3Stage2))*L25)*(1-'Life Table - Male'!B70)</f>
        <v>16.361551654449663</v>
      </c>
      <c r="M26" s="19">
        <f t="shared" si="6"/>
        <v>128222.73772248534</v>
      </c>
      <c r="N26" s="20">
        <f t="shared" si="7"/>
        <v>1.9896631715558069</v>
      </c>
      <c r="O26" s="27">
        <f>SUM(pStage1Remission*F25,pStage2Remission*I25,(1-SUM(pRemissionStage1_trtC, pRemissionStage2_trtC))*O25)*(1-'Life Table - Male'!B70)</f>
        <v>333.86101176693552</v>
      </c>
      <c r="P26" s="19">
        <f t="shared" si="8"/>
        <v>1420982.8061914416</v>
      </c>
      <c r="Q26" s="20">
        <f t="shared" si="9"/>
        <v>107.13759253030707</v>
      </c>
      <c r="R26" s="27">
        <f>SUM(pStage3Death*L25*(1-'Life Table - Male'!B70),R25)</f>
        <v>229.43836238280386</v>
      </c>
      <c r="S26" s="19">
        <f t="shared" si="10"/>
        <v>0</v>
      </c>
      <c r="T26" s="23">
        <f t="shared" si="11"/>
        <v>0</v>
      </c>
      <c r="U26" s="239">
        <f>SUM(B25*'Life Table - Male'!B70,U25)</f>
        <v>188.72811651246192</v>
      </c>
      <c r="V26" s="49">
        <f t="shared" si="13"/>
        <v>0</v>
      </c>
      <c r="W26" s="54">
        <v>0.66666666666666663</v>
      </c>
      <c r="X26" s="13">
        <f t="shared" si="14"/>
        <v>1696157.4335994679</v>
      </c>
      <c r="Y26" s="25">
        <f t="shared" si="14"/>
        <v>180.07527864918211</v>
      </c>
    </row>
    <row r="27" spans="1:25" x14ac:dyDescent="0.2">
      <c r="A27" s="10">
        <v>24</v>
      </c>
      <c r="B27" s="15">
        <f t="shared" si="12"/>
        <v>561.56907579956874</v>
      </c>
      <c r="C27" s="27">
        <f>(1-SUM(pHealthyStage1,pHealthyStage2,pHealthyStage3))*C26*(1-'Life Table - Male'!B71)</f>
        <v>102.89330759931752</v>
      </c>
      <c r="D27" s="19">
        <f t="shared" si="2"/>
        <v>0</v>
      </c>
      <c r="E27" s="20">
        <f t="shared" si="1"/>
        <v>67.488919002216932</v>
      </c>
      <c r="F27" s="27">
        <f>SUM(pHealthyStage1*C26,(1-SUM(pStage1Remission,pStage1Stage2))*F26,pStage2Stage1*I26,pRemissionStage1_trtC*O26)*(1-'Life Table - Male'!B71)</f>
        <v>70.456326413255098</v>
      </c>
      <c r="G27" s="239">
        <f t="shared" si="15"/>
        <v>73941.000322621112</v>
      </c>
      <c r="H27" s="20">
        <f t="shared" si="3"/>
        <v>40.667550177441612</v>
      </c>
      <c r="I27" s="27">
        <f>SUM(pHealthyStage2*C26,pStage1Stage2*F26,(1-SUM(pStage2Remission, pStage2Stage1, pStage2Stage3))*I26,pStage3Stage2*L26,pRemissionStage2_trtC*O26)*(1-'Life Table - Male'!B71)</f>
        <v>42.623614748346867</v>
      </c>
      <c r="J27" s="19">
        <f t="shared" si="4"/>
        <v>201292.74297072089</v>
      </c>
      <c r="K27" s="20">
        <f t="shared" si="5"/>
        <v>19.849701042946084</v>
      </c>
      <c r="L27" s="27">
        <f>SUM(pHealthyStage3*C26,pStage2Stage3*I26,(1-SUM(pStage3Death, pStage3Stage2))*L26)*(1-'Life Table - Male'!B71)</f>
        <v>15.596341955145734</v>
      </c>
      <c r="M27" s="19">
        <f t="shared" si="6"/>
        <v>237331.87878984661</v>
      </c>
      <c r="N27" s="20">
        <f t="shared" si="7"/>
        <v>3.682736050187275</v>
      </c>
      <c r="O27" s="27">
        <f>SUM(pStage1Remission*F26,pStage2Remission*I26,(1-SUM(pRemissionStage1_trtC, pRemissionStage2_trtC))*O26)*(1-'Life Table - Male'!B71)</f>
        <v>329.99948508350349</v>
      </c>
      <c r="P27" s="19">
        <f t="shared" si="8"/>
        <v>2727276.3787456667</v>
      </c>
      <c r="Q27" s="20">
        <f t="shared" si="9"/>
        <v>205.62798093717328</v>
      </c>
      <c r="R27" s="27">
        <f>SUM(pStage3Death*L26*(1-'Life Table - Male'!B71),R26)</f>
        <v>236.63570554458573</v>
      </c>
      <c r="S27" s="19">
        <f t="shared" si="10"/>
        <v>0</v>
      </c>
      <c r="T27" s="23">
        <f t="shared" si="11"/>
        <v>0</v>
      </c>
      <c r="U27" s="239">
        <f>SUM(B26*'Life Table - Male'!B71,U26)</f>
        <v>201.7952186558457</v>
      </c>
      <c r="V27" s="49">
        <f t="shared" si="13"/>
        <v>0</v>
      </c>
      <c r="W27" s="54">
        <v>1.3333333333333333</v>
      </c>
      <c r="X27" s="13">
        <f t="shared" si="14"/>
        <v>3239842.0008288552</v>
      </c>
      <c r="Y27" s="25">
        <f t="shared" si="14"/>
        <v>337.31688720996522</v>
      </c>
    </row>
    <row r="28" spans="1:25" x14ac:dyDescent="0.2">
      <c r="A28" s="10">
        <v>25</v>
      </c>
      <c r="B28" s="15">
        <f t="shared" si="12"/>
        <v>541.24638057964808</v>
      </c>
      <c r="C28" s="27">
        <f>(1-SUM(pHealthyStage1,pHealthyStage2,pHealthyStage3))*C27*(1-'Life Table - Male'!B72)</f>
        <v>92.390791090689746</v>
      </c>
      <c r="D28" s="19">
        <f t="shared" si="2"/>
        <v>0</v>
      </c>
      <c r="E28" s="20">
        <f t="shared" si="1"/>
        <v>29.417570915602635</v>
      </c>
      <c r="F28" s="27">
        <f>SUM(pHealthyStage1*C27,(1-SUM(pStage1Remission,pStage1Stage2))*F27,pStage2Stage1*I27,pRemissionStage1_trtC*O27)*(1-'Life Table - Male'!B72)</f>
        <v>67.90330588721163</v>
      </c>
      <c r="G28" s="239">
        <f t="shared" si="15"/>
        <v>34593.06353387767</v>
      </c>
      <c r="H28" s="20">
        <f t="shared" si="3"/>
        <v>19.026184943632718</v>
      </c>
      <c r="I28" s="27">
        <f>SUM(pHealthyStage2*C27,pStage1Stage2*F27,(1-SUM(pStage2Remission, pStage2Stage1, pStage2Stage3))*I27,pStage3Stage2*L27,pRemissionStage2_trtC*O27)*(1-'Life Table - Male'!B72)</f>
        <v>41.048464852978434</v>
      </c>
      <c r="J28" s="19">
        <f t="shared" si="4"/>
        <v>94103.882032435169</v>
      </c>
      <c r="K28" s="20">
        <f t="shared" si="5"/>
        <v>9.2796883670873562</v>
      </c>
      <c r="L28" s="27">
        <f>SUM(pHealthyStage3*C27,pStage2Stage3*I27,(1-SUM(pStage3Death, pStage3Stage2))*L27)*(1-'Life Table - Male'!B72)</f>
        <v>14.85548458568101</v>
      </c>
      <c r="M28" s="19">
        <f t="shared" si="6"/>
        <v>109736.9615967241</v>
      </c>
      <c r="N28" s="20">
        <f t="shared" si="7"/>
        <v>1.7028149213284773</v>
      </c>
      <c r="O28" s="27">
        <f>SUM(pStage1Remission*F27,pStage2Remission*I27,(1-SUM(pRemissionStage1_trtC, pRemissionStage2_trtC))*O27)*(1-'Life Table - Male'!B72)</f>
        <v>325.0483341630873</v>
      </c>
      <c r="P28" s="19">
        <f t="shared" si="8"/>
        <v>1304057.1152743301</v>
      </c>
      <c r="Q28" s="20">
        <f t="shared" si="9"/>
        <v>98.321766627826463</v>
      </c>
      <c r="R28" s="27">
        <f>SUM(pStage3Death*L27*(1-'Life Table - Male'!B72),R27)</f>
        <v>243.48568064141196</v>
      </c>
      <c r="S28" s="19">
        <f t="shared" si="10"/>
        <v>0</v>
      </c>
      <c r="T28" s="23">
        <f t="shared" si="11"/>
        <v>0</v>
      </c>
      <c r="U28" s="239">
        <f>SUM(B27*'Life Table - Male'!B72,U27)</f>
        <v>215.26793877894002</v>
      </c>
      <c r="V28" s="49">
        <f t="shared" si="13"/>
        <v>0</v>
      </c>
      <c r="W28" s="54">
        <v>0.66666666666666663</v>
      </c>
      <c r="X28" s="13">
        <f t="shared" si="14"/>
        <v>1542491.0224373671</v>
      </c>
      <c r="Y28" s="25">
        <f t="shared" si="14"/>
        <v>157.74802577547766</v>
      </c>
    </row>
    <row r="29" spans="1:25" x14ac:dyDescent="0.2">
      <c r="A29" s="10">
        <v>26</v>
      </c>
      <c r="B29" s="15">
        <f t="shared" si="12"/>
        <v>520.98016231291626</v>
      </c>
      <c r="C29" s="27">
        <f>(1-SUM(pHealthyStage1,pHealthyStage2,pHealthyStage3))*C28*(1-'Life Table - Male'!B73)</f>
        <v>82.84000070847155</v>
      </c>
      <c r="D29" s="19">
        <f t="shared" si="2"/>
        <v>0</v>
      </c>
      <c r="E29" s="20">
        <f t="shared" si="1"/>
        <v>51.216628732693636</v>
      </c>
      <c r="F29" s="27">
        <f>SUM(pHealthyStage1*C28,(1-SUM(pStage1Remission,pStage1Stage2))*F28,pStage2Stage1*I28,pRemissionStage1_trtC*O28)*(1-'Life Table - Male'!B73)</f>
        <v>65.357740191018891</v>
      </c>
      <c r="G29" s="239">
        <f t="shared" si="15"/>
        <v>64652.88431759167</v>
      </c>
      <c r="H29" s="20">
        <f t="shared" si="3"/>
        <v>35.559086374675417</v>
      </c>
      <c r="I29" s="27">
        <f>SUM(pHealthyStage2*C28,pStage1Stage2*F28,(1-SUM(pStage2Remission, pStage2Stage1, pStage2Stage3))*I28,pStage3Stage2*L28,pRemissionStage2_trtC*O28)*(1-'Life Table - Male'!B73)</f>
        <v>39.48173076158799</v>
      </c>
      <c r="J29" s="19">
        <f t="shared" si="4"/>
        <v>175751.71568923164</v>
      </c>
      <c r="K29" s="20">
        <f t="shared" si="5"/>
        <v>17.331071963799225</v>
      </c>
      <c r="L29" s="27">
        <f>SUM(pHealthyStage3*C28,pStage2Stage3*I28,(1-SUM(pStage3Death, pStage3Stage2))*L28)*(1-'Life Table - Male'!B73)</f>
        <v>14.14030134614625</v>
      </c>
      <c r="M29" s="19">
        <f t="shared" si="6"/>
        <v>202823.1596580144</v>
      </c>
      <c r="N29" s="20">
        <f t="shared" si="7"/>
        <v>3.1472559257278094</v>
      </c>
      <c r="O29" s="27">
        <f>SUM(pStage1Remission*F28,pStage2Remission*I28,(1-SUM(pRemissionStage1_trtC, pRemissionStage2_trtC))*O28)*(1-'Life Table - Male'!B73)</f>
        <v>319.16038930569152</v>
      </c>
      <c r="P29" s="19">
        <f t="shared" si="8"/>
        <v>2486282.227434929</v>
      </c>
      <c r="Q29" s="20">
        <f t="shared" si="9"/>
        <v>187.45778698914148</v>
      </c>
      <c r="R29" s="27">
        <f>SUM(pStage3Death*L28*(1-'Life Table - Male'!B73),R28)</f>
        <v>250.000808118376</v>
      </c>
      <c r="S29" s="19">
        <f t="shared" si="10"/>
        <v>0</v>
      </c>
      <c r="T29" s="23">
        <f t="shared" si="11"/>
        <v>0</v>
      </c>
      <c r="U29" s="239">
        <f>SUM(B28*'Life Table - Male'!B73,U28)</f>
        <v>229.01902956870782</v>
      </c>
      <c r="V29" s="49">
        <f t="shared" si="13"/>
        <v>0</v>
      </c>
      <c r="W29" s="54">
        <v>1.3333333333333333</v>
      </c>
      <c r="X29" s="13">
        <f t="shared" si="14"/>
        <v>2929509.9870997667</v>
      </c>
      <c r="Y29" s="25">
        <f t="shared" si="14"/>
        <v>294.71182998603757</v>
      </c>
    </row>
    <row r="30" spans="1:25" x14ac:dyDescent="0.2">
      <c r="A30" s="10">
        <v>27</v>
      </c>
      <c r="B30" s="15">
        <f t="shared" si="12"/>
        <v>500.63963374632806</v>
      </c>
      <c r="C30" s="27">
        <f>(1-SUM(pHealthyStage1,pHealthyStage2,pHealthyStage3))*C29*(1-'Life Table - Male'!B74)</f>
        <v>74.142802559870745</v>
      </c>
      <c r="D30" s="19">
        <f t="shared" si="2"/>
        <v>0</v>
      </c>
      <c r="E30" s="20">
        <f t="shared" si="1"/>
        <v>22.252185517492631</v>
      </c>
      <c r="F30" s="27">
        <f>SUM(pHealthyStage1*C29,(1-SUM(pStage1Remission,pStage1Stage2))*F29,pStage2Stage1*I29,pRemissionStage1_trtC*O29)*(1-'Life Table - Male'!B74)</f>
        <v>62.803229407226162</v>
      </c>
      <c r="G30" s="239">
        <f t="shared" si="15"/>
        <v>30158.214982256675</v>
      </c>
      <c r="H30" s="20">
        <f t="shared" si="3"/>
        <v>16.587018240241171</v>
      </c>
      <c r="I30" s="27">
        <f>SUM(pHealthyStage2*C29,pStage1Stage2*F29,(1-SUM(pStage2Remission, pStage2Stage1, pStage2Stage3))*I29,pStage3Stage2*L29,pRemissionStage2_trtC*O29)*(1-'Life Table - Male'!B74)</f>
        <v>37.913330419142291</v>
      </c>
      <c r="J30" s="19">
        <f t="shared" si="4"/>
        <v>81927.198827138549</v>
      </c>
      <c r="K30" s="20">
        <f t="shared" si="5"/>
        <v>8.0789321065650501</v>
      </c>
      <c r="L30" s="27">
        <f>SUM(pHealthyStage3*C29,pStage2Stage3*I29,(1-SUM(pStage3Death, pStage3Stage2))*L29)*(1-'Life Table - Male'!B74)</f>
        <v>13.445426491497342</v>
      </c>
      <c r="M30" s="19">
        <f t="shared" si="6"/>
        <v>93619.483648315814</v>
      </c>
      <c r="N30" s="20">
        <f t="shared" si="7"/>
        <v>1.4527161255773142</v>
      </c>
      <c r="O30" s="27">
        <f>SUM(pStage1Remission*F29,pStage2Remission*I29,(1-SUM(pRemissionStage1_trtC, pRemissionStage2_trtC))*O29)*(1-'Life Table - Male'!B74)</f>
        <v>312.33484486859157</v>
      </c>
      <c r="P30" s="19">
        <f t="shared" si="8"/>
        <v>1181121.722710164</v>
      </c>
      <c r="Q30" s="20">
        <f t="shared" si="9"/>
        <v>89.05282829957585</v>
      </c>
      <c r="R30" s="27">
        <f>SUM(pStage3Death*L29*(1-'Life Table - Male'!B74),R29)</f>
        <v>256.19111608298527</v>
      </c>
      <c r="S30" s="19">
        <f t="shared" si="10"/>
        <v>0</v>
      </c>
      <c r="T30" s="23">
        <f t="shared" si="11"/>
        <v>0</v>
      </c>
      <c r="U30" s="239">
        <f>SUM(B29*'Life Table - Male'!B74,U29)</f>
        <v>243.16925017068661</v>
      </c>
      <c r="V30" s="49">
        <f t="shared" si="13"/>
        <v>0</v>
      </c>
      <c r="W30" s="54">
        <v>0.66666666666666663</v>
      </c>
      <c r="X30" s="13">
        <f t="shared" si="14"/>
        <v>1386826.6201678752</v>
      </c>
      <c r="Y30" s="25">
        <f t="shared" si="14"/>
        <v>137.42368028945202</v>
      </c>
    </row>
    <row r="31" spans="1:25" x14ac:dyDescent="0.2">
      <c r="A31" s="10">
        <v>28</v>
      </c>
      <c r="B31" s="15">
        <f t="shared" si="12"/>
        <v>480.11861174260105</v>
      </c>
      <c r="C31" s="27">
        <f>(1-SUM(pHealthyStage1,pHealthyStage2,pHealthyStage3))*C30*(1-'Life Table - Male'!B75)</f>
        <v>66.215665085678538</v>
      </c>
      <c r="D31" s="19">
        <f t="shared" si="2"/>
        <v>0</v>
      </c>
      <c r="E31" s="20">
        <f t="shared" si="1"/>
        <v>38.588437206224917</v>
      </c>
      <c r="F31" s="27">
        <f>SUM(pHealthyStage1*C30,(1-SUM(pStage1Remission,pStage1Stage2))*F30,pStage2Stage1*I30,pRemissionStage1_trtC*O30)*(1-'Life Table - Male'!B75)</f>
        <v>60.226447329870815</v>
      </c>
      <c r="G31" s="239">
        <f t="shared" si="15"/>
        <v>56156.970781716445</v>
      </c>
      <c r="H31" s="20">
        <f t="shared" si="3"/>
        <v>30.886333929944044</v>
      </c>
      <c r="I31" s="27">
        <f>SUM(pHealthyStage2*C30,pStage1Stage2*F30,(1-SUM(pStage2Remission, pStage2Stage1, pStage2Stage3))*I30,pStage3Stage2*L30,pRemissionStage2_trtC*O30)*(1-'Life Table - Male'!B75)</f>
        <v>36.335022631269887</v>
      </c>
      <c r="J31" s="19">
        <f t="shared" si="4"/>
        <v>152459.459693274</v>
      </c>
      <c r="K31" s="20">
        <f t="shared" si="5"/>
        <v>15.034196719753407</v>
      </c>
      <c r="L31" s="27">
        <f>SUM(pHealthyStage3*C30,pStage2Stage3*I30,(1-SUM(pStage3Death, pStage3Stage2))*L30)*(1-'Life Table - Male'!B75)</f>
        <v>12.766367693673073</v>
      </c>
      <c r="M31" s="19">
        <f t="shared" si="6"/>
        <v>172604.36661182166</v>
      </c>
      <c r="N31" s="20">
        <f t="shared" si="7"/>
        <v>2.6783436198386115</v>
      </c>
      <c r="O31" s="27">
        <f>SUM(pStage1Remission*F30,pStage2Remission*I30,(1-SUM(pRemissionStage1_trtC, pRemissionStage2_trtC))*O30)*(1-'Life Table - Male'!B75)</f>
        <v>304.57510900210872</v>
      </c>
      <c r="P31" s="19">
        <f t="shared" si="8"/>
        <v>2236461.3556180578</v>
      </c>
      <c r="Q31" s="20">
        <f t="shared" si="9"/>
        <v>168.62208633628217</v>
      </c>
      <c r="R31" s="27">
        <f>SUM(pStage3Death*L30*(1-'Life Table - Male'!B75),R30)</f>
        <v>262.06453552610594</v>
      </c>
      <c r="S31" s="19">
        <f t="shared" si="10"/>
        <v>0</v>
      </c>
      <c r="T31" s="23">
        <f t="shared" si="11"/>
        <v>0</v>
      </c>
      <c r="U31" s="239">
        <f>SUM(B30*'Life Table - Male'!B75,U30)</f>
        <v>257.81685273129307</v>
      </c>
      <c r="V31" s="49">
        <f t="shared" si="13"/>
        <v>0</v>
      </c>
      <c r="W31" s="54">
        <v>1.3333333333333333</v>
      </c>
      <c r="X31" s="13">
        <f t="shared" si="14"/>
        <v>2617682.1527048699</v>
      </c>
      <c r="Y31" s="25">
        <f t="shared" si="14"/>
        <v>255.80939781204313</v>
      </c>
    </row>
    <row r="32" spans="1:25" x14ac:dyDescent="0.2">
      <c r="A32" s="10">
        <v>29</v>
      </c>
      <c r="B32" s="15">
        <f t="shared" si="12"/>
        <v>459.50168984707216</v>
      </c>
      <c r="C32" s="27">
        <f>(1-SUM(pHealthyStage1,pHealthyStage2,pHealthyStage3))*C31*(1-'Life Table - Male'!B76)</f>
        <v>59.008563228056182</v>
      </c>
      <c r="D32" s="19">
        <f t="shared" si="2"/>
        <v>0</v>
      </c>
      <c r="E32" s="20">
        <f t="shared" si="1"/>
        <v>16.693379433637904</v>
      </c>
      <c r="F32" s="27">
        <f>SUM(pHealthyStage1*C31,(1-SUM(pStage1Remission,pStage1Stage2))*F31,pStage2Stage1*I31,pRemissionStage1_trtC*O31)*(1-'Life Table - Male'!B76)</f>
        <v>57.637991356055181</v>
      </c>
      <c r="G32" s="239">
        <f t="shared" si="15"/>
        <v>26089.036759787345</v>
      </c>
      <c r="H32" s="20">
        <f t="shared" si="3"/>
        <v>14.348970217883039</v>
      </c>
      <c r="I32" s="27">
        <f>SUM(pHealthyStage2*C31,pStage1Stage2*F31,(1-SUM(pStage2Remission, pStage2Stage1, pStage2Stage3))*I31,pStage3Stage2*L31,pRemissionStage2_trtC*O31)*(1-'Life Table - Male'!B76)</f>
        <v>34.752990154124667</v>
      </c>
      <c r="J32" s="19">
        <f t="shared" si="4"/>
        <v>70787.063764793376</v>
      </c>
      <c r="K32" s="20">
        <f t="shared" si="5"/>
        <v>6.9803910101393454</v>
      </c>
      <c r="L32" s="27">
        <f>SUM(pHealthyStage3*C31,pStage2Stage3*I31,(1-SUM(pStage3Death, pStage3Stage2))*L31)*(1-'Life Table - Male'!B76)</f>
        <v>12.103845447211178</v>
      </c>
      <c r="M32" s="19">
        <f t="shared" si="6"/>
        <v>79440.245747245208</v>
      </c>
      <c r="N32" s="20">
        <f t="shared" si="7"/>
        <v>1.2326934684917359</v>
      </c>
      <c r="O32" s="27">
        <f>SUM(pStage1Remission*F31,pStage2Remission*I31,(1-SUM(pRemissionStage1_trtC, pRemissionStage2_trtC))*O31)*(1-'Life Table - Male'!B76)</f>
        <v>295.99829966162497</v>
      </c>
      <c r="P32" s="19">
        <f t="shared" si="8"/>
        <v>1055088.7343539668</v>
      </c>
      <c r="Q32" s="20">
        <f t="shared" si="9"/>
        <v>79.550341082243534</v>
      </c>
      <c r="R32" s="27">
        <f>SUM(pStage3Death*L31*(1-'Life Table - Male'!B76),R31)</f>
        <v>267.62929413364219</v>
      </c>
      <c r="S32" s="19">
        <f t="shared" si="10"/>
        <v>0</v>
      </c>
      <c r="T32" s="23">
        <f t="shared" si="11"/>
        <v>0</v>
      </c>
      <c r="U32" s="239">
        <f>SUM(B31*'Life Table - Male'!B76,U31)</f>
        <v>272.86901601928565</v>
      </c>
      <c r="V32" s="49">
        <f t="shared" si="13"/>
        <v>0</v>
      </c>
      <c r="W32" s="54">
        <v>0.66666666666666663</v>
      </c>
      <c r="X32" s="13">
        <f t="shared" si="14"/>
        <v>1231405.0806257927</v>
      </c>
      <c r="Y32" s="25">
        <f t="shared" si="14"/>
        <v>118.80577521239556</v>
      </c>
    </row>
    <row r="33" spans="1:25" ht="16" thickBot="1" x14ac:dyDescent="0.25">
      <c r="A33" s="11">
        <v>30</v>
      </c>
      <c r="B33" s="166">
        <f t="shared" si="12"/>
        <v>438.08123095375902</v>
      </c>
      <c r="C33" s="28">
        <f>(1-SUM(pHealthyStage1,pHealthyStage2,pHealthyStage3))*C32*(1-'Life Table - Male'!B77)</f>
        <v>52.378021652145783</v>
      </c>
      <c r="D33" s="21">
        <f t="shared" si="2"/>
        <v>0</v>
      </c>
      <c r="E33" s="22">
        <f t="shared" si="1"/>
        <v>7.1930171367738502</v>
      </c>
      <c r="F33" s="28">
        <f>SUM(pHealthyStage1*C32,(1-SUM(pStage1Remission,pStage1Stage2))*F32,pStage2Stage1*I32,pRemissionStage1_trtC*O32)*(1-'Life Table - Male'!B77)</f>
        <v>54.949082100135819</v>
      </c>
      <c r="G33" s="242">
        <f t="shared" si="15"/>
        <v>12073.756945497857</v>
      </c>
      <c r="H33" s="22">
        <f t="shared" si="3"/>
        <v>6.6405663200238214</v>
      </c>
      <c r="I33" s="28">
        <f>SUM(pHealthyStage2*C32,pStage1Stage2*F32,(1-SUM(pStage2Remission, pStage2Stage1, pStage2Stage3))*I32,pStage3Stage2*L32,pRemissionStage2_trtC*O32)*(1-'Life Table - Male'!B77)</f>
        <v>33.113507028758228</v>
      </c>
      <c r="J33" s="21">
        <f t="shared" si="4"/>
        <v>32741.583496764739</v>
      </c>
      <c r="K33" s="22">
        <f t="shared" si="5"/>
        <v>3.2286839281531901</v>
      </c>
      <c r="L33" s="28">
        <f>SUM(pHealthyStage3*C32,pStage2Stage3*I32,(1-SUM(pStage3Death, pStage3Stage2))*L32)*(1-'Life Table - Male'!B77)</f>
        <v>11.437897538590143</v>
      </c>
      <c r="M33" s="21">
        <f t="shared" si="6"/>
        <v>36441.495449430098</v>
      </c>
      <c r="N33" s="22">
        <f t="shared" si="7"/>
        <v>0.56547148111184642</v>
      </c>
      <c r="O33" s="28">
        <f>SUM(pStage1Remission*F32,pStage2Remission*I32,(1-SUM(pRemissionStage1_trtC, pRemissionStage2_trtC))*O32)*(1-'Life Table - Male'!B77)</f>
        <v>286.20272263412903</v>
      </c>
      <c r="P33" s="21">
        <f t="shared" si="8"/>
        <v>495229.27550319181</v>
      </c>
      <c r="Q33" s="22">
        <f t="shared" si="9"/>
        <v>37.338715216510487</v>
      </c>
      <c r="R33" s="28">
        <f>SUM(pStage3Death*L32*(1-'Life Table - Male'!B77),R32)</f>
        <v>272.88440770828464</v>
      </c>
      <c r="S33" s="21">
        <f t="shared" si="10"/>
        <v>0</v>
      </c>
      <c r="T33" s="24">
        <f t="shared" si="11"/>
        <v>0</v>
      </c>
      <c r="U33" s="241">
        <f>SUM(B32*'Life Table - Male'!B77,U32)</f>
        <v>289.03436133795634</v>
      </c>
      <c r="V33" s="49">
        <f t="shared" si="13"/>
        <v>0</v>
      </c>
      <c r="W33" s="54">
        <v>0.33333333333333331</v>
      </c>
      <c r="X33" s="13">
        <f t="shared" si="14"/>
        <v>576486.11139488453</v>
      </c>
      <c r="Y33" s="25">
        <f t="shared" si="14"/>
        <v>54.966454082573193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29" t="s">
        <v>80</v>
      </c>
      <c r="W34" s="53"/>
      <c r="X34" s="30">
        <f>SUM(X3:X33)</f>
        <v>73988388.950559244</v>
      </c>
      <c r="Y34" s="31">
        <f>SUM(Y3:Y33)</f>
        <v>14219.57321722995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F9B3-88C5-9341-98B7-1BA3B9FC09EA}">
  <sheetPr codeName="Sheet7"/>
  <dimension ref="A1:X11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7.164062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2000" width="8.83203125" style="1"/>
    <col min="2001" max="2001" width="2.33203125" style="1" customWidth="1"/>
    <col min="2002" max="16384" width="8.83203125" style="1"/>
  </cols>
  <sheetData>
    <row r="1" spans="1:24" x14ac:dyDescent="0.2">
      <c r="C1" s="213" t="s">
        <v>7</v>
      </c>
      <c r="D1" s="214"/>
      <c r="E1" s="215"/>
      <c r="F1" s="216" t="s">
        <v>8</v>
      </c>
      <c r="G1" s="217"/>
      <c r="H1" s="218"/>
      <c r="I1" s="219" t="s">
        <v>9</v>
      </c>
      <c r="J1" s="220"/>
      <c r="K1" s="221"/>
      <c r="L1" s="222" t="s">
        <v>10</v>
      </c>
      <c r="M1" s="223"/>
      <c r="N1" s="224"/>
      <c r="O1" s="225" t="s">
        <v>11</v>
      </c>
      <c r="P1" s="226"/>
      <c r="Q1" s="227"/>
      <c r="R1" s="210" t="s">
        <v>12</v>
      </c>
      <c r="S1" s="211"/>
      <c r="T1" s="212"/>
    </row>
    <row r="2" spans="1:24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>SUM(C3,F3,I3,L3,O3)</f>
        <v>1000</v>
      </c>
      <c r="C4" s="27">
        <f>(1-SUM(pHealthyStage1,pHealthyStage2,pHealthyStage3))*C3</f>
        <v>920</v>
      </c>
      <c r="D4" s="19">
        <f t="shared" ref="D4:D33" si="2">C4*0*V4/(1+discount_rate)^A4</f>
        <v>0</v>
      </c>
      <c r="E4" s="20">
        <f t="shared" si="1"/>
        <v>595.46925566343032</v>
      </c>
      <c r="F4" s="27">
        <f t="shared" ref="F4:F33" si="3">SUM(pHealthyStage1*C3,(1-SUM(pStage1Remission,pStage1Stage2))*F3,pStage2Stage1*I3,pRemissionStage1_trtC*O3)</f>
        <v>50</v>
      </c>
      <c r="G4" s="19">
        <f t="shared" ref="G4:G33" si="4">F4*SUM(nVisitsStage1*cVisit,cTreatmentStage1)*V4/(1+discount_rate)^A4</f>
        <v>51779.935275080898</v>
      </c>
      <c r="H4" s="20">
        <f t="shared" ref="H4:H33" si="5">F4*uStage1*V4/(1+discount_rate)^A4</f>
        <v>28.478964401294498</v>
      </c>
      <c r="I4" s="27">
        <f t="shared" ref="I4:I33" si="6">SUM(pHealthyStage2*C3,pStage1Stage2*F3,(1-SUM(pStage2Remission, pStage2Stage1, pStage2Stage3))*I3,pStage3Stage2*L3,pRemissionStage2_trtC*O3)</f>
        <v>20</v>
      </c>
      <c r="J4" s="19">
        <f t="shared" ref="J4:J33" si="7">I4*SUM(nVisitsStage2*cVisit,cTreatmentStage2)*V4/(1+discount_rate)^A4</f>
        <v>93203.883495145623</v>
      </c>
      <c r="K4" s="20">
        <f t="shared" ref="K4:K33" si="8">I4*uStage2*V4/(1+discount_rate)^A4</f>
        <v>9.1909385113268591</v>
      </c>
      <c r="L4" s="27">
        <f t="shared" ref="L4:L33" si="9">SUM(pHealthyStage3*C3,pStage2Stage3*I3,(1-SUM(pStage3Death, pStage3Stage2))*L3)</f>
        <v>10</v>
      </c>
      <c r="M4" s="19">
        <f t="shared" ref="M4:M33" si="10">L4*SUM(nVisitsStage3*cVisit,cTreatmentStage3)*V4/(1+discount_rate)^A4</f>
        <v>150161.81229773461</v>
      </c>
      <c r="N4" s="20">
        <f t="shared" ref="N4:N33" si="11">L4*uStage3*V4/(1+discount_rate)^A4</f>
        <v>2.3300970873786402</v>
      </c>
      <c r="O4" s="27">
        <f t="shared" ref="O4:O33" si="12">SUM(pStage1Remission*F3,pStage2Remission*I3,(1-SUM(pRemissionStage1_trtC, pRemissionStage2_trtC))*O3)</f>
        <v>0</v>
      </c>
      <c r="P4" s="19">
        <f t="shared" ref="P4:P33" si="13">O4*SUM(nVisitsRemission*cVisit, cTrtC)*V4/(1+discount_rate)^A4</f>
        <v>0</v>
      </c>
      <c r="Q4" s="20">
        <f t="shared" ref="Q4:Q33" si="14">O4*uRemission*V4/(1+discount_rate)^A4</f>
        <v>0</v>
      </c>
      <c r="R4" s="27">
        <f t="shared" ref="R4:R33" si="15">SUM(pStage3Death*L3,R3)</f>
        <v>0</v>
      </c>
      <c r="S4" s="19">
        <f t="shared" ref="S4:S33" si="16">R4*0*V4/(1+discount_rate)^A4</f>
        <v>0</v>
      </c>
      <c r="T4" s="23">
        <f t="shared" ref="T4:T33" si="17">R4*0*V4/(1+discount_rate)^A4</f>
        <v>0</v>
      </c>
      <c r="U4" s="49">
        <f t="shared" ref="U4:U33" si="18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>SUM(C4,F4,I4,L4,O4)</f>
        <v>1000</v>
      </c>
      <c r="C5" s="27">
        <f>(1-SUM(pHealthyStage1,pHealthyStage2,pHealthyStage3))*C4</f>
        <v>846.40000000000009</v>
      </c>
      <c r="D5" s="19">
        <f t="shared" si="2"/>
        <v>0</v>
      </c>
      <c r="E5" s="20">
        <f t="shared" si="1"/>
        <v>1063.7509033210797</v>
      </c>
      <c r="F5" s="27">
        <f t="shared" si="3"/>
        <v>79.5</v>
      </c>
      <c r="G5" s="19">
        <f t="shared" si="4"/>
        <v>159864.26618908474</v>
      </c>
      <c r="H5" s="20">
        <f t="shared" si="5"/>
        <v>87.925346403996599</v>
      </c>
      <c r="I5" s="27">
        <f t="shared" si="6"/>
        <v>35.900000000000006</v>
      </c>
      <c r="J5" s="19">
        <f t="shared" si="7"/>
        <v>324856.25412385713</v>
      </c>
      <c r="K5" s="20">
        <f t="shared" si="8"/>
        <v>32.034436170547025</v>
      </c>
      <c r="L5" s="27">
        <f t="shared" si="9"/>
        <v>17.200000000000003</v>
      </c>
      <c r="M5" s="19">
        <f t="shared" si="10"/>
        <v>501511.29544097785</v>
      </c>
      <c r="N5" s="20">
        <f t="shared" si="11"/>
        <v>7.7820718258082762</v>
      </c>
      <c r="O5" s="27">
        <f t="shared" si="12"/>
        <v>16.5</v>
      </c>
      <c r="P5" s="19">
        <f t="shared" si="13"/>
        <v>261287.58601187673</v>
      </c>
      <c r="Q5" s="20">
        <f t="shared" si="14"/>
        <v>19.700254500895465</v>
      </c>
      <c r="R5" s="27">
        <f t="shared" si="15"/>
        <v>4.5</v>
      </c>
      <c r="S5" s="19">
        <f t="shared" si="16"/>
        <v>0</v>
      </c>
      <c r="T5" s="23">
        <f t="shared" si="17"/>
        <v>0</v>
      </c>
      <c r="U5" s="49">
        <f t="shared" si="18"/>
        <v>0</v>
      </c>
      <c r="V5" s="54">
        <v>1.3333333333333333</v>
      </c>
      <c r="W5" s="13">
        <f t="shared" ref="W5:X33" si="19">SUM(D5,G5,J5,M5,P5,S5)</f>
        <v>1247519.4017657966</v>
      </c>
      <c r="X5" s="25">
        <f t="shared" si="19"/>
        <v>1211.1930122223271</v>
      </c>
    </row>
    <row r="6" spans="1:24" x14ac:dyDescent="0.2">
      <c r="A6" s="10">
        <v>3</v>
      </c>
      <c r="B6" s="15">
        <f t="shared" ref="B6:B33" si="20">SUM(C5,F5,I5,L5,O5)</f>
        <v>995.50000000000011</v>
      </c>
      <c r="C6" s="27">
        <f t="shared" ref="C6:C33" si="21">(1-SUM(pHealthyStage1,pHealthyStage2,pHealthyStage3))*C5</f>
        <v>778.6880000000001</v>
      </c>
      <c r="D6" s="19">
        <f t="shared" si="2"/>
        <v>0</v>
      </c>
      <c r="E6" s="20">
        <f t="shared" si="1"/>
        <v>475.07321895892881</v>
      </c>
      <c r="F6" s="27">
        <f t="shared" si="3"/>
        <v>96.615000000000009</v>
      </c>
      <c r="G6" s="19">
        <f t="shared" si="4"/>
        <v>94310.838846299215</v>
      </c>
      <c r="H6" s="20">
        <f t="shared" si="5"/>
        <v>51.870961365464574</v>
      </c>
      <c r="I6" s="27">
        <f t="shared" si="6"/>
        <v>47.608000000000004</v>
      </c>
      <c r="J6" s="19">
        <f t="shared" si="7"/>
        <v>209126.70776872907</v>
      </c>
      <c r="K6" s="20">
        <f t="shared" si="8"/>
        <v>20.622217016083006</v>
      </c>
      <c r="L6" s="27">
        <f t="shared" si="9"/>
        <v>22.449000000000002</v>
      </c>
      <c r="M6" s="19">
        <f t="shared" si="10"/>
        <v>317747.43371400179</v>
      </c>
      <c r="N6" s="20">
        <f t="shared" si="11"/>
        <v>4.9305636265965793</v>
      </c>
      <c r="O6" s="27">
        <f t="shared" si="12"/>
        <v>42.4</v>
      </c>
      <c r="P6" s="19">
        <f t="shared" si="13"/>
        <v>325936.85339522129</v>
      </c>
      <c r="Q6" s="20">
        <f t="shared" si="14"/>
        <v>24.574604025830173</v>
      </c>
      <c r="R6" s="27">
        <f t="shared" si="15"/>
        <v>12.240000000000002</v>
      </c>
      <c r="S6" s="19">
        <f t="shared" si="16"/>
        <v>0</v>
      </c>
      <c r="T6" s="23">
        <f t="shared" si="17"/>
        <v>0</v>
      </c>
      <c r="U6" s="49">
        <f t="shared" si="18"/>
        <v>0</v>
      </c>
      <c r="V6" s="54">
        <v>0.66666666666666663</v>
      </c>
      <c r="W6" s="13">
        <f t="shared" si="19"/>
        <v>947121.83372425137</v>
      </c>
      <c r="X6" s="25">
        <f t="shared" si="19"/>
        <v>577.07156499290318</v>
      </c>
    </row>
    <row r="7" spans="1:24" x14ac:dyDescent="0.2">
      <c r="A7" s="10">
        <v>4</v>
      </c>
      <c r="B7" s="15">
        <f t="shared" si="20"/>
        <v>987.76</v>
      </c>
      <c r="C7" s="27">
        <f t="shared" si="21"/>
        <v>716.39296000000013</v>
      </c>
      <c r="D7" s="19">
        <f t="shared" si="2"/>
        <v>0</v>
      </c>
      <c r="E7" s="20">
        <f t="shared" si="1"/>
        <v>848.67448823730979</v>
      </c>
      <c r="F7" s="27">
        <f t="shared" si="3"/>
        <v>106.23455000000003</v>
      </c>
      <c r="G7" s="19">
        <f t="shared" si="4"/>
        <v>201361.11299445693</v>
      </c>
      <c r="H7" s="20">
        <f t="shared" si="5"/>
        <v>110.7486121469513</v>
      </c>
      <c r="I7" s="27">
        <f t="shared" si="6"/>
        <v>55.770510000000002</v>
      </c>
      <c r="J7" s="19">
        <f t="shared" si="7"/>
        <v>475693.2075902631</v>
      </c>
      <c r="K7" s="20">
        <f t="shared" si="8"/>
        <v>46.908635748484286</v>
      </c>
      <c r="L7" s="27">
        <f t="shared" si="9"/>
        <v>26.15258</v>
      </c>
      <c r="M7" s="19">
        <f t="shared" si="10"/>
        <v>718774.004680307</v>
      </c>
      <c r="N7" s="20">
        <f t="shared" si="11"/>
        <v>11.153389727797867</v>
      </c>
      <c r="O7" s="27">
        <f t="shared" si="12"/>
        <v>73.107349999999997</v>
      </c>
      <c r="P7" s="19">
        <f t="shared" si="13"/>
        <v>1091242.8841849759</v>
      </c>
      <c r="Q7" s="20">
        <f t="shared" si="14"/>
        <v>82.276249204422783</v>
      </c>
      <c r="R7" s="27">
        <f t="shared" si="15"/>
        <v>22.34205</v>
      </c>
      <c r="S7" s="19">
        <f t="shared" si="16"/>
        <v>0</v>
      </c>
      <c r="T7" s="23">
        <f t="shared" si="17"/>
        <v>0</v>
      </c>
      <c r="U7" s="49">
        <f t="shared" si="18"/>
        <v>0</v>
      </c>
      <c r="V7" s="54">
        <v>1.3333333333333333</v>
      </c>
      <c r="W7" s="13">
        <f t="shared" si="19"/>
        <v>2487071.2094500028</v>
      </c>
      <c r="X7" s="25">
        <f t="shared" si="19"/>
        <v>1099.7613750649659</v>
      </c>
    </row>
    <row r="8" spans="1:24" x14ac:dyDescent="0.2">
      <c r="A8" s="10">
        <v>5</v>
      </c>
      <c r="B8" s="15">
        <f t="shared" si="20"/>
        <v>977.65795000000003</v>
      </c>
      <c r="C8" s="27">
        <f t="shared" si="21"/>
        <v>659.08152320000011</v>
      </c>
      <c r="D8" s="19">
        <f t="shared" si="2"/>
        <v>0</v>
      </c>
      <c r="E8" s="20">
        <f t="shared" si="1"/>
        <v>379.01967435841021</v>
      </c>
      <c r="F8" s="27">
        <f t="shared" si="3"/>
        <v>111.31599850000003</v>
      </c>
      <c r="G8" s="19">
        <f t="shared" si="4"/>
        <v>102423.63535850076</v>
      </c>
      <c r="H8" s="20">
        <f t="shared" si="5"/>
        <v>56.332999447175411</v>
      </c>
      <c r="I8" s="27">
        <f t="shared" si="6"/>
        <v>61.183396200000004</v>
      </c>
      <c r="J8" s="19">
        <f t="shared" si="7"/>
        <v>253331.20809876808</v>
      </c>
      <c r="K8" s="20">
        <f t="shared" si="8"/>
        <v>24.981271909739633</v>
      </c>
      <c r="L8" s="27">
        <f t="shared" si="9"/>
        <v>28.605796099999999</v>
      </c>
      <c r="M8" s="19">
        <f t="shared" si="10"/>
        <v>381649.4501358429</v>
      </c>
      <c r="N8" s="20">
        <f t="shared" si="11"/>
        <v>5.9221466400389424</v>
      </c>
      <c r="O8" s="27">
        <f t="shared" si="12"/>
        <v>105.70257500000001</v>
      </c>
      <c r="P8" s="19">
        <f t="shared" si="13"/>
        <v>765911.74570701784</v>
      </c>
      <c r="Q8" s="20">
        <f t="shared" si="14"/>
        <v>57.747314160449754</v>
      </c>
      <c r="R8" s="27">
        <f t="shared" si="15"/>
        <v>34.110711000000002</v>
      </c>
      <c r="S8" s="19">
        <f t="shared" si="16"/>
        <v>0</v>
      </c>
      <c r="T8" s="23">
        <f t="shared" si="17"/>
        <v>0</v>
      </c>
      <c r="U8" s="49">
        <f t="shared" si="18"/>
        <v>0</v>
      </c>
      <c r="V8" s="54">
        <v>0.66666666666666663</v>
      </c>
      <c r="W8" s="13">
        <f t="shared" si="19"/>
        <v>1503316.0393001295</v>
      </c>
      <c r="X8" s="25">
        <f t="shared" si="19"/>
        <v>524.00340651581394</v>
      </c>
    </row>
    <row r="9" spans="1:24" x14ac:dyDescent="0.2">
      <c r="A9" s="10">
        <v>6</v>
      </c>
      <c r="B9" s="15">
        <f t="shared" si="20"/>
        <v>965.8892890000003</v>
      </c>
      <c r="C9" s="27">
        <f t="shared" si="21"/>
        <v>606.35500134400013</v>
      </c>
      <c r="D9" s="19">
        <f t="shared" si="2"/>
        <v>0</v>
      </c>
      <c r="E9" s="20">
        <f t="shared" si="1"/>
        <v>677.08369011599495</v>
      </c>
      <c r="F9" s="27">
        <f t="shared" si="3"/>
        <v>113.65377374500002</v>
      </c>
      <c r="G9" s="19">
        <f t="shared" si="4"/>
        <v>203057.59194479694</v>
      </c>
      <c r="H9" s="20">
        <f t="shared" si="5"/>
        <v>111.68167556963834</v>
      </c>
      <c r="I9" s="27">
        <f t="shared" si="6"/>
        <v>64.567609339000015</v>
      </c>
      <c r="J9" s="19">
        <f t="shared" si="7"/>
        <v>519113.82060588483</v>
      </c>
      <c r="K9" s="20">
        <f t="shared" si="8"/>
        <v>51.190390643080313</v>
      </c>
      <c r="L9" s="27">
        <f t="shared" si="9"/>
        <v>30.071222712000001</v>
      </c>
      <c r="M9" s="19">
        <f t="shared" si="10"/>
        <v>779030.49857633119</v>
      </c>
      <c r="N9" s="20">
        <f t="shared" si="11"/>
        <v>12.088404288253415</v>
      </c>
      <c r="O9" s="27">
        <f t="shared" si="12"/>
        <v>138.36907361500002</v>
      </c>
      <c r="P9" s="19">
        <f t="shared" si="13"/>
        <v>1946816.2688429977</v>
      </c>
      <c r="Q9" s="20">
        <f t="shared" si="14"/>
        <v>146.78376630165457</v>
      </c>
      <c r="R9" s="27">
        <f t="shared" si="15"/>
        <v>46.983319245000004</v>
      </c>
      <c r="S9" s="19">
        <f t="shared" si="16"/>
        <v>0</v>
      </c>
      <c r="T9" s="23">
        <f t="shared" si="17"/>
        <v>0</v>
      </c>
      <c r="U9" s="49">
        <f t="shared" si="18"/>
        <v>0</v>
      </c>
      <c r="V9" s="54">
        <v>1.3333333333333333</v>
      </c>
      <c r="W9" s="13">
        <f t="shared" si="19"/>
        <v>3448018.1799700106</v>
      </c>
      <c r="X9" s="25">
        <f t="shared" si="19"/>
        <v>998.82792691862142</v>
      </c>
    </row>
    <row r="10" spans="1:24" x14ac:dyDescent="0.2">
      <c r="A10" s="10">
        <v>7</v>
      </c>
      <c r="B10" s="15">
        <f t="shared" si="20"/>
        <v>953.01668075500027</v>
      </c>
      <c r="C10" s="27">
        <f t="shared" si="21"/>
        <v>557.84660123648018</v>
      </c>
      <c r="D10" s="19">
        <f t="shared" si="2"/>
        <v>0</v>
      </c>
      <c r="E10" s="20">
        <f t="shared" si="1"/>
        <v>302.38689073141524</v>
      </c>
      <c r="F10" s="27">
        <f t="shared" si="3"/>
        <v>114.33953714915003</v>
      </c>
      <c r="G10" s="19">
        <f t="shared" si="4"/>
        <v>99166.40753802874</v>
      </c>
      <c r="H10" s="20">
        <f t="shared" si="5"/>
        <v>54.541524145915801</v>
      </c>
      <c r="I10" s="27">
        <f t="shared" si="6"/>
        <v>66.503985612680012</v>
      </c>
      <c r="J10" s="19">
        <f t="shared" si="7"/>
        <v>259554.36562641908</v>
      </c>
      <c r="K10" s="20">
        <f t="shared" si="8"/>
        <v>25.594944388160769</v>
      </c>
      <c r="L10" s="27">
        <f t="shared" si="9"/>
        <v>30.784302770290005</v>
      </c>
      <c r="M10" s="19">
        <f t="shared" si="10"/>
        <v>387137.70810093242</v>
      </c>
      <c r="N10" s="20">
        <f t="shared" si="11"/>
        <v>6.0073092636351566</v>
      </c>
      <c r="O10" s="27">
        <f t="shared" si="12"/>
        <v>170.01020376600002</v>
      </c>
      <c r="P10" s="19">
        <f t="shared" si="13"/>
        <v>1161164.3696006634</v>
      </c>
      <c r="Q10" s="20">
        <f t="shared" si="14"/>
        <v>87.548107231796038</v>
      </c>
      <c r="R10" s="27">
        <f t="shared" si="15"/>
        <v>60.515369465400006</v>
      </c>
      <c r="S10" s="19">
        <f t="shared" si="16"/>
        <v>0</v>
      </c>
      <c r="T10" s="23">
        <f t="shared" si="17"/>
        <v>0</v>
      </c>
      <c r="U10" s="49">
        <f t="shared" si="18"/>
        <v>0</v>
      </c>
      <c r="V10" s="54">
        <v>0.66666666666666663</v>
      </c>
      <c r="W10" s="13">
        <f t="shared" si="19"/>
        <v>1907022.8508660437</v>
      </c>
      <c r="X10" s="25">
        <f t="shared" si="19"/>
        <v>476.07877576092295</v>
      </c>
    </row>
    <row r="11" spans="1:24" x14ac:dyDescent="0.2">
      <c r="A11" s="10">
        <v>8</v>
      </c>
      <c r="B11" s="15">
        <f t="shared" si="20"/>
        <v>939.48463053460023</v>
      </c>
      <c r="C11" s="27">
        <f t="shared" si="21"/>
        <v>513.21887313756179</v>
      </c>
      <c r="D11" s="19">
        <f t="shared" si="2"/>
        <v>0</v>
      </c>
      <c r="E11" s="20">
        <f t="shared" si="1"/>
        <v>540.18629023864469</v>
      </c>
      <c r="F11" s="27">
        <f t="shared" si="3"/>
        <v>114.03873867770552</v>
      </c>
      <c r="G11" s="19">
        <f t="shared" si="4"/>
        <v>192049.56454761501</v>
      </c>
      <c r="H11" s="20">
        <f t="shared" si="5"/>
        <v>105.62726050118825</v>
      </c>
      <c r="I11" s="27">
        <f t="shared" si="6"/>
        <v>67.432696321087121</v>
      </c>
      <c r="J11" s="19">
        <f t="shared" si="7"/>
        <v>511027.13443731394</v>
      </c>
      <c r="K11" s="20">
        <f t="shared" si="8"/>
        <v>50.392953534790678</v>
      </c>
      <c r="L11" s="27">
        <f t="shared" si="9"/>
        <v>30.946215239411806</v>
      </c>
      <c r="M11" s="19">
        <f t="shared" si="10"/>
        <v>755677.45518367086</v>
      </c>
      <c r="N11" s="20">
        <f t="shared" si="11"/>
        <v>11.726029476987994</v>
      </c>
      <c r="O11" s="27">
        <f t="shared" si="12"/>
        <v>199.99517091220352</v>
      </c>
      <c r="P11" s="19">
        <f t="shared" si="13"/>
        <v>2652350.9835696262</v>
      </c>
      <c r="Q11" s="20">
        <f t="shared" si="14"/>
        <v>199.97884399929725</v>
      </c>
      <c r="R11" s="27">
        <f t="shared" si="15"/>
        <v>74.368305712030505</v>
      </c>
      <c r="S11" s="19">
        <f t="shared" si="16"/>
        <v>0</v>
      </c>
      <c r="T11" s="23">
        <f t="shared" si="17"/>
        <v>0</v>
      </c>
      <c r="U11" s="49">
        <f t="shared" si="18"/>
        <v>0</v>
      </c>
      <c r="V11" s="54">
        <v>1.3333333333333333</v>
      </c>
      <c r="W11" s="13">
        <f t="shared" si="19"/>
        <v>4111105.137738226</v>
      </c>
      <c r="X11" s="25">
        <f t="shared" si="19"/>
        <v>907.91137775090885</v>
      </c>
    </row>
    <row r="12" spans="1:24" x14ac:dyDescent="0.2">
      <c r="A12" s="10">
        <v>9</v>
      </c>
      <c r="B12" s="15">
        <f t="shared" si="20"/>
        <v>925.63169428796971</v>
      </c>
      <c r="C12" s="27">
        <f t="shared" si="21"/>
        <v>472.16136328655688</v>
      </c>
      <c r="D12" s="19">
        <f t="shared" si="2"/>
        <v>0</v>
      </c>
      <c r="E12" s="20">
        <f t="shared" si="1"/>
        <v>241.2482461259967</v>
      </c>
      <c r="F12" s="27">
        <f t="shared" si="3"/>
        <v>113.15751715905121</v>
      </c>
      <c r="G12" s="19">
        <f t="shared" si="4"/>
        <v>92507.535510568443</v>
      </c>
      <c r="H12" s="20">
        <f t="shared" si="5"/>
        <v>50.879144530812646</v>
      </c>
      <c r="I12" s="27">
        <f t="shared" si="6"/>
        <v>67.675083303388732</v>
      </c>
      <c r="J12" s="19">
        <f t="shared" si="7"/>
        <v>248963.11779103646</v>
      </c>
      <c r="K12" s="20">
        <f t="shared" si="8"/>
        <v>24.550529671060541</v>
      </c>
      <c r="L12" s="27">
        <f t="shared" si="9"/>
        <v>30.720200799244591</v>
      </c>
      <c r="M12" s="19">
        <f t="shared" si="10"/>
        <v>364154.56079542206</v>
      </c>
      <c r="N12" s="20">
        <f t="shared" si="11"/>
        <v>5.650674219239308</v>
      </c>
      <c r="O12" s="27">
        <f t="shared" si="12"/>
        <v>227.99173288199307</v>
      </c>
      <c r="P12" s="19">
        <f t="shared" si="13"/>
        <v>1467788.1029009367</v>
      </c>
      <c r="Q12" s="20">
        <f t="shared" si="14"/>
        <v>110.6665633139595</v>
      </c>
      <c r="R12" s="27">
        <f t="shared" si="15"/>
        <v>88.294102569765812</v>
      </c>
      <c r="S12" s="19">
        <f t="shared" si="16"/>
        <v>0</v>
      </c>
      <c r="T12" s="23">
        <f t="shared" si="17"/>
        <v>0</v>
      </c>
      <c r="U12" s="49">
        <f t="shared" si="18"/>
        <v>0</v>
      </c>
      <c r="V12" s="54">
        <v>0.66666666666666663</v>
      </c>
      <c r="W12" s="13">
        <f t="shared" si="19"/>
        <v>2173413.3169979639</v>
      </c>
      <c r="X12" s="25">
        <f t="shared" si="19"/>
        <v>432.99515786106866</v>
      </c>
    </row>
    <row r="13" spans="1:24" x14ac:dyDescent="0.2">
      <c r="A13" s="10">
        <v>10</v>
      </c>
      <c r="B13" s="15">
        <f t="shared" si="20"/>
        <v>911.70589743023447</v>
      </c>
      <c r="C13" s="27">
        <f t="shared" si="21"/>
        <v>434.38845422363232</v>
      </c>
      <c r="D13" s="19">
        <f t="shared" si="2"/>
        <v>0</v>
      </c>
      <c r="E13" s="20">
        <f t="shared" si="1"/>
        <v>430.96774065226595</v>
      </c>
      <c r="F13" s="27">
        <f t="shared" si="3"/>
        <v>111.94379512698023</v>
      </c>
      <c r="G13" s="19">
        <f t="shared" si="4"/>
        <v>177699.6197641209</v>
      </c>
      <c r="H13" s="20">
        <f t="shared" si="5"/>
        <v>97.734790870266494</v>
      </c>
      <c r="I13" s="27">
        <f t="shared" si="6"/>
        <v>67.459873661271587</v>
      </c>
      <c r="J13" s="19">
        <f t="shared" si="7"/>
        <v>481886.22231411887</v>
      </c>
      <c r="K13" s="20">
        <f t="shared" si="8"/>
        <v>47.519335811531164</v>
      </c>
      <c r="L13" s="27">
        <f t="shared" si="9"/>
        <v>30.232976527996172</v>
      </c>
      <c r="M13" s="19">
        <f t="shared" si="10"/>
        <v>695881.64485037513</v>
      </c>
      <c r="N13" s="20">
        <f t="shared" si="11"/>
        <v>10.798163454574787</v>
      </c>
      <c r="O13" s="27">
        <f t="shared" si="12"/>
        <v>253.85670753069411</v>
      </c>
      <c r="P13" s="19">
        <f t="shared" si="13"/>
        <v>3173406.28633236</v>
      </c>
      <c r="Q13" s="20">
        <f t="shared" si="14"/>
        <v>239.26475968378907</v>
      </c>
      <c r="R13" s="27">
        <f t="shared" si="15"/>
        <v>102.11819292942587</v>
      </c>
      <c r="S13" s="19">
        <f t="shared" si="16"/>
        <v>0</v>
      </c>
      <c r="T13" s="23">
        <f t="shared" si="17"/>
        <v>0</v>
      </c>
      <c r="U13" s="49">
        <f t="shared" si="18"/>
        <v>0</v>
      </c>
      <c r="V13" s="54">
        <v>1.3333333333333333</v>
      </c>
      <c r="W13" s="13">
        <f t="shared" si="19"/>
        <v>4528873.7732609753</v>
      </c>
      <c r="X13" s="25">
        <f t="shared" si="19"/>
        <v>826.28479047242752</v>
      </c>
    </row>
    <row r="14" spans="1:24" x14ac:dyDescent="0.2">
      <c r="A14" s="10">
        <v>11</v>
      </c>
      <c r="B14" s="15">
        <f t="shared" si="20"/>
        <v>897.88180707057427</v>
      </c>
      <c r="C14" s="27">
        <f t="shared" si="21"/>
        <v>399.63737788574173</v>
      </c>
      <c r="D14" s="19">
        <f t="shared" si="2"/>
        <v>0</v>
      </c>
      <c r="E14" s="20">
        <f t="shared" si="1"/>
        <v>192.47102980586635</v>
      </c>
      <c r="F14" s="27">
        <f t="shared" si="3"/>
        <v>110.54871860331706</v>
      </c>
      <c r="G14" s="19">
        <f t="shared" si="4"/>
        <v>85186.929514416683</v>
      </c>
      <c r="H14" s="20">
        <f t="shared" si="5"/>
        <v>46.852811232929177</v>
      </c>
      <c r="I14" s="27">
        <f t="shared" si="6"/>
        <v>66.946855770947309</v>
      </c>
      <c r="J14" s="19">
        <f t="shared" si="7"/>
        <v>232146.39844954066</v>
      </c>
      <c r="K14" s="20">
        <f t="shared" si="8"/>
        <v>22.892214291551923</v>
      </c>
      <c r="L14" s="27">
        <f t="shared" si="9"/>
        <v>29.579353855425147</v>
      </c>
      <c r="M14" s="19">
        <f t="shared" si="10"/>
        <v>330503.40406553593</v>
      </c>
      <c r="N14" s="20">
        <f t="shared" si="11"/>
        <v>5.1285010975686616</v>
      </c>
      <c r="O14" s="27">
        <f t="shared" si="12"/>
        <v>277.56466151754489</v>
      </c>
      <c r="P14" s="19">
        <f t="shared" si="13"/>
        <v>1684356.3837425483</v>
      </c>
      <c r="Q14" s="20">
        <f t="shared" si="14"/>
        <v>126.99512417106516</v>
      </c>
      <c r="R14" s="27">
        <f t="shared" si="15"/>
        <v>115.72303236702415</v>
      </c>
      <c r="S14" s="19">
        <f t="shared" si="16"/>
        <v>0</v>
      </c>
      <c r="T14" s="23">
        <f t="shared" si="17"/>
        <v>0</v>
      </c>
      <c r="U14" s="49">
        <f t="shared" si="18"/>
        <v>0</v>
      </c>
      <c r="V14" s="54">
        <v>0.66666666666666663</v>
      </c>
      <c r="W14" s="13">
        <f t="shared" si="19"/>
        <v>2332193.1157720415</v>
      </c>
      <c r="X14" s="25">
        <f t="shared" si="19"/>
        <v>394.33968059898132</v>
      </c>
    </row>
    <row r="15" spans="1:24" x14ac:dyDescent="0.2">
      <c r="A15" s="10">
        <v>12</v>
      </c>
      <c r="B15" s="15">
        <f t="shared" si="20"/>
        <v>884.27696763297604</v>
      </c>
      <c r="C15" s="27">
        <f t="shared" si="21"/>
        <v>367.66638765488239</v>
      </c>
      <c r="D15" s="19">
        <f t="shared" si="2"/>
        <v>0</v>
      </c>
      <c r="E15" s="20">
        <f t="shared" si="1"/>
        <v>343.83174256581952</v>
      </c>
      <c r="F15" s="27">
        <f t="shared" si="3"/>
        <v>109.06411185086779</v>
      </c>
      <c r="G15" s="19">
        <f t="shared" si="4"/>
        <v>163190.13056707132</v>
      </c>
      <c r="H15" s="20">
        <f t="shared" si="5"/>
        <v>89.754571811889221</v>
      </c>
      <c r="I15" s="27">
        <f t="shared" si="6"/>
        <v>66.245993803737079</v>
      </c>
      <c r="J15" s="19">
        <f t="shared" si="7"/>
        <v>446050.62909436371</v>
      </c>
      <c r="K15" s="20">
        <f t="shared" si="8"/>
        <v>43.985548146805307</v>
      </c>
      <c r="L15" s="27">
        <f t="shared" si="9"/>
        <v>28.828079072212088</v>
      </c>
      <c r="M15" s="19">
        <f t="shared" si="10"/>
        <v>625454.51171198767</v>
      </c>
      <c r="N15" s="20">
        <f t="shared" si="11"/>
        <v>9.7053286300136019</v>
      </c>
      <c r="O15" s="27">
        <f t="shared" si="12"/>
        <v>299.16168601633547</v>
      </c>
      <c r="P15" s="19">
        <f t="shared" si="13"/>
        <v>3525076.5899406155</v>
      </c>
      <c r="Q15" s="20">
        <f t="shared" si="14"/>
        <v>265.77958416218928</v>
      </c>
      <c r="R15" s="27">
        <f t="shared" si="15"/>
        <v>129.03374160196546</v>
      </c>
      <c r="S15" s="19">
        <f t="shared" si="16"/>
        <v>0</v>
      </c>
      <c r="T15" s="23">
        <f t="shared" si="17"/>
        <v>0</v>
      </c>
      <c r="U15" s="49">
        <f t="shared" si="18"/>
        <v>0</v>
      </c>
      <c r="V15" s="54">
        <v>1.3333333333333333</v>
      </c>
      <c r="W15" s="13">
        <f t="shared" si="19"/>
        <v>4759771.8613140378</v>
      </c>
      <c r="X15" s="25">
        <f t="shared" si="19"/>
        <v>753.05677531671688</v>
      </c>
    </row>
    <row r="16" spans="1:24" x14ac:dyDescent="0.2">
      <c r="A16" s="10">
        <v>13</v>
      </c>
      <c r="B16" s="15">
        <f t="shared" si="20"/>
        <v>870.96625839803482</v>
      </c>
      <c r="C16" s="27">
        <f t="shared" si="21"/>
        <v>338.25307664249181</v>
      </c>
      <c r="D16" s="19">
        <f t="shared" si="2"/>
        <v>0</v>
      </c>
      <c r="E16" s="20">
        <f t="shared" si="1"/>
        <v>153.5559238643466</v>
      </c>
      <c r="F16" s="27">
        <f t="shared" si="3"/>
        <v>107.54537607681181</v>
      </c>
      <c r="G16" s="19">
        <f t="shared" si="4"/>
        <v>78115.3791462136</v>
      </c>
      <c r="H16" s="20">
        <f t="shared" si="5"/>
        <v>42.963458530417483</v>
      </c>
      <c r="I16" s="27">
        <f t="shared" si="6"/>
        <v>65.431972894363994</v>
      </c>
      <c r="J16" s="19">
        <f t="shared" si="7"/>
        <v>213868.75017990937</v>
      </c>
      <c r="K16" s="20">
        <f t="shared" si="8"/>
        <v>21.089835087185509</v>
      </c>
      <c r="L16" s="27">
        <f t="shared" si="9"/>
        <v>28.027602483215432</v>
      </c>
      <c r="M16" s="19">
        <f t="shared" si="10"/>
        <v>295188.03763440443</v>
      </c>
      <c r="N16" s="20">
        <f t="shared" si="11"/>
        <v>4.5805040322580002</v>
      </c>
      <c r="O16" s="27">
        <f t="shared" si="12"/>
        <v>318.73559471865633</v>
      </c>
      <c r="P16" s="19">
        <f t="shared" si="13"/>
        <v>1823164.8147484083</v>
      </c>
      <c r="Q16" s="20">
        <f t="shared" si="14"/>
        <v>137.46083920722128</v>
      </c>
      <c r="R16" s="27">
        <f t="shared" si="15"/>
        <v>142.00637718446089</v>
      </c>
      <c r="S16" s="19">
        <f t="shared" si="16"/>
        <v>0</v>
      </c>
      <c r="T16" s="23">
        <f t="shared" si="17"/>
        <v>0</v>
      </c>
      <c r="U16" s="49">
        <f t="shared" si="18"/>
        <v>0</v>
      </c>
      <c r="V16" s="54">
        <v>0.66666666666666663</v>
      </c>
      <c r="W16" s="13">
        <f t="shared" si="19"/>
        <v>2410336.9817089355</v>
      </c>
      <c r="X16" s="25">
        <f t="shared" si="19"/>
        <v>359.65056072142886</v>
      </c>
    </row>
    <row r="17" spans="1:24" x14ac:dyDescent="0.2">
      <c r="A17" s="10">
        <v>14</v>
      </c>
      <c r="B17" s="15">
        <f t="shared" si="20"/>
        <v>857.99362281553931</v>
      </c>
      <c r="C17" s="27">
        <f t="shared" si="21"/>
        <v>311.1928305110925</v>
      </c>
      <c r="D17" s="19">
        <f t="shared" si="2"/>
        <v>0</v>
      </c>
      <c r="E17" s="20">
        <f t="shared" si="1"/>
        <v>274.31349505863858</v>
      </c>
      <c r="F17" s="27">
        <f t="shared" si="3"/>
        <v>106.02552666270329</v>
      </c>
      <c r="G17" s="19">
        <f t="shared" si="4"/>
        <v>149536.7755690878</v>
      </c>
      <c r="H17" s="20">
        <f t="shared" si="5"/>
        <v>82.245226562998297</v>
      </c>
      <c r="I17" s="27">
        <f t="shared" si="6"/>
        <v>64.554874895683312</v>
      </c>
      <c r="J17" s="19">
        <f t="shared" si="7"/>
        <v>409712.42156092438</v>
      </c>
      <c r="K17" s="20">
        <f t="shared" si="8"/>
        <v>40.402197126146703</v>
      </c>
      <c r="L17" s="27">
        <f t="shared" si="9"/>
        <v>27.211127942187233</v>
      </c>
      <c r="M17" s="19">
        <f t="shared" si="10"/>
        <v>556483.27975537896</v>
      </c>
      <c r="N17" s="20">
        <f t="shared" si="11"/>
        <v>8.6350853755144996</v>
      </c>
      <c r="O17" s="27">
        <f t="shared" si="12"/>
        <v>336.39684168642611</v>
      </c>
      <c r="P17" s="19">
        <f t="shared" si="13"/>
        <v>3736285.4232487297</v>
      </c>
      <c r="Q17" s="20">
        <f t="shared" si="14"/>
        <v>281.70405968938837</v>
      </c>
      <c r="R17" s="27">
        <f t="shared" si="15"/>
        <v>154.61879830190784</v>
      </c>
      <c r="S17" s="19">
        <f t="shared" si="16"/>
        <v>0</v>
      </c>
      <c r="T17" s="23">
        <f t="shared" si="17"/>
        <v>0</v>
      </c>
      <c r="U17" s="49">
        <f t="shared" si="18"/>
        <v>0</v>
      </c>
      <c r="V17" s="54">
        <v>1.3333333333333333</v>
      </c>
      <c r="W17" s="13">
        <f t="shared" si="19"/>
        <v>4852017.9001341211</v>
      </c>
      <c r="X17" s="25">
        <f t="shared" si="19"/>
        <v>687.3000638126864</v>
      </c>
    </row>
    <row r="18" spans="1:24" x14ac:dyDescent="0.2">
      <c r="A18" s="10">
        <v>15</v>
      </c>
      <c r="B18" s="15">
        <f t="shared" si="20"/>
        <v>845.38120169809247</v>
      </c>
      <c r="C18" s="27">
        <f t="shared" si="21"/>
        <v>286.29740407020512</v>
      </c>
      <c r="D18" s="19">
        <f t="shared" si="2"/>
        <v>0</v>
      </c>
      <c r="E18" s="20">
        <f t="shared" si="1"/>
        <v>122.5089395407512</v>
      </c>
      <c r="F18" s="27">
        <f t="shared" si="3"/>
        <v>104.52381968541724</v>
      </c>
      <c r="G18" s="19">
        <f t="shared" si="4"/>
        <v>71562.519949466965</v>
      </c>
      <c r="H18" s="20">
        <f t="shared" si="5"/>
        <v>39.35938597220683</v>
      </c>
      <c r="I18" s="27">
        <f t="shared" si="6"/>
        <v>63.647827444740045</v>
      </c>
      <c r="J18" s="19">
        <f t="shared" si="7"/>
        <v>196094.96866200527</v>
      </c>
      <c r="K18" s="20">
        <f t="shared" si="8"/>
        <v>19.337142743058855</v>
      </c>
      <c r="L18" s="27">
        <f t="shared" si="9"/>
        <v>26.400723510557036</v>
      </c>
      <c r="M18" s="19">
        <f t="shared" si="10"/>
        <v>262092.25298660531</v>
      </c>
      <c r="N18" s="20">
        <f t="shared" si="11"/>
        <v>4.0669487532404274</v>
      </c>
      <c r="O18" s="27">
        <f t="shared" si="12"/>
        <v>352.26641941318871</v>
      </c>
      <c r="P18" s="19">
        <f t="shared" si="13"/>
        <v>1899293.843722953</v>
      </c>
      <c r="Q18" s="20">
        <f t="shared" si="14"/>
        <v>143.20072631244486</v>
      </c>
      <c r="R18" s="27">
        <f t="shared" si="15"/>
        <v>166.8638058758921</v>
      </c>
      <c r="S18" s="19">
        <f t="shared" si="16"/>
        <v>0</v>
      </c>
      <c r="T18" s="23">
        <f t="shared" si="17"/>
        <v>0</v>
      </c>
      <c r="U18" s="49">
        <f t="shared" si="18"/>
        <v>0</v>
      </c>
      <c r="V18" s="54">
        <v>0.66666666666666663</v>
      </c>
      <c r="W18" s="13">
        <f t="shared" si="19"/>
        <v>2429043.5853210306</v>
      </c>
      <c r="X18" s="25">
        <f t="shared" si="19"/>
        <v>328.4731433217022</v>
      </c>
    </row>
    <row r="19" spans="1:24" x14ac:dyDescent="0.2">
      <c r="A19" s="10">
        <v>16</v>
      </c>
      <c r="B19" s="15">
        <f t="shared" si="20"/>
        <v>833.13619412410821</v>
      </c>
      <c r="C19" s="27">
        <f t="shared" si="21"/>
        <v>263.39361174458872</v>
      </c>
      <c r="D19" s="19">
        <f t="shared" si="2"/>
        <v>0</v>
      </c>
      <c r="E19" s="20">
        <f t="shared" si="1"/>
        <v>218.850921121342</v>
      </c>
      <c r="F19" s="27">
        <f t="shared" si="3"/>
        <v>103.05106534192791</v>
      </c>
      <c r="G19" s="19">
        <f t="shared" si="4"/>
        <v>136998.43620800262</v>
      </c>
      <c r="H19" s="20">
        <f t="shared" si="5"/>
        <v>75.349139914401448</v>
      </c>
      <c r="I19" s="27">
        <f t="shared" si="6"/>
        <v>62.732391080581486</v>
      </c>
      <c r="J19" s="19">
        <f t="shared" si="7"/>
        <v>375290.42054059362</v>
      </c>
      <c r="K19" s="20">
        <f t="shared" si="8"/>
        <v>37.00780535886409</v>
      </c>
      <c r="L19" s="27">
        <f t="shared" si="9"/>
        <v>25.610509912691576</v>
      </c>
      <c r="M19" s="19">
        <f t="shared" si="10"/>
        <v>493684.34042730008</v>
      </c>
      <c r="N19" s="20">
        <f t="shared" si="11"/>
        <v>7.6606190755960348</v>
      </c>
      <c r="O19" s="27">
        <f t="shared" si="12"/>
        <v>366.46829046456781</v>
      </c>
      <c r="P19" s="19">
        <f t="shared" si="13"/>
        <v>3836631.504552546</v>
      </c>
      <c r="Q19" s="20">
        <f t="shared" si="14"/>
        <v>289.26983566070788</v>
      </c>
      <c r="R19" s="27">
        <f t="shared" si="15"/>
        <v>178.74413145564276</v>
      </c>
      <c r="S19" s="19">
        <f t="shared" si="16"/>
        <v>0</v>
      </c>
      <c r="T19" s="23">
        <f t="shared" si="17"/>
        <v>0</v>
      </c>
      <c r="U19" s="49">
        <f t="shared" si="18"/>
        <v>0</v>
      </c>
      <c r="V19" s="54">
        <v>1.3333333333333333</v>
      </c>
      <c r="W19" s="13">
        <f t="shared" si="19"/>
        <v>4842604.7017284427</v>
      </c>
      <c r="X19" s="25">
        <f t="shared" si="19"/>
        <v>628.13832113091144</v>
      </c>
    </row>
    <row r="20" spans="1:24" x14ac:dyDescent="0.2">
      <c r="A20" s="10">
        <v>17</v>
      </c>
      <c r="B20" s="15">
        <f t="shared" si="20"/>
        <v>821.25586854435755</v>
      </c>
      <c r="C20" s="27">
        <f t="shared" si="21"/>
        <v>242.32212280502165</v>
      </c>
      <c r="D20" s="19">
        <f t="shared" si="2"/>
        <v>0</v>
      </c>
      <c r="E20" s="20">
        <f t="shared" si="1"/>
        <v>97.739246326036238</v>
      </c>
      <c r="F20" s="27">
        <f t="shared" si="3"/>
        <v>101.61290713674003</v>
      </c>
      <c r="G20" s="19">
        <f t="shared" si="4"/>
        <v>65575.97858968025</v>
      </c>
      <c r="H20" s="20">
        <f t="shared" si="5"/>
        <v>36.066788224324142</v>
      </c>
      <c r="I20" s="27">
        <f t="shared" si="6"/>
        <v>61.822304722359391</v>
      </c>
      <c r="J20" s="19">
        <f t="shared" si="7"/>
        <v>179536.85316986058</v>
      </c>
      <c r="K20" s="20">
        <f t="shared" si="8"/>
        <v>17.704328576472363</v>
      </c>
      <c r="L20" s="27">
        <f t="shared" si="9"/>
        <v>24.8490497358789</v>
      </c>
      <c r="M20" s="19">
        <f t="shared" si="10"/>
        <v>232527.16205910433</v>
      </c>
      <c r="N20" s="20">
        <f t="shared" si="11"/>
        <v>3.6081801009171368</v>
      </c>
      <c r="O20" s="27">
        <f t="shared" si="12"/>
        <v>379.1247546836463</v>
      </c>
      <c r="P20" s="19">
        <f t="shared" si="13"/>
        <v>1926764.3775279522</v>
      </c>
      <c r="Q20" s="20">
        <f t="shared" si="14"/>
        <v>145.27191735329797</v>
      </c>
      <c r="R20" s="27">
        <f t="shared" si="15"/>
        <v>190.26886091635396</v>
      </c>
      <c r="S20" s="19">
        <f t="shared" si="16"/>
        <v>0</v>
      </c>
      <c r="T20" s="23">
        <f t="shared" si="17"/>
        <v>0</v>
      </c>
      <c r="U20" s="49">
        <f t="shared" si="18"/>
        <v>0</v>
      </c>
      <c r="V20" s="54">
        <v>0.66666666666666663</v>
      </c>
      <c r="W20" s="13">
        <f t="shared" si="19"/>
        <v>2404404.3713465976</v>
      </c>
      <c r="X20" s="25">
        <f t="shared" si="19"/>
        <v>300.39046058104782</v>
      </c>
    </row>
    <row r="21" spans="1:24" x14ac:dyDescent="0.2">
      <c r="A21" s="10">
        <v>18</v>
      </c>
      <c r="B21" s="15">
        <f t="shared" si="20"/>
        <v>809.73113908364621</v>
      </c>
      <c r="C21" s="27">
        <f t="shared" si="21"/>
        <v>222.93635298061992</v>
      </c>
      <c r="D21" s="19">
        <f t="shared" si="2"/>
        <v>0</v>
      </c>
      <c r="E21" s="20">
        <f t="shared" si="1"/>
        <v>174.60214877660846</v>
      </c>
      <c r="F21" s="27">
        <f t="shared" si="3"/>
        <v>100.21184874943239</v>
      </c>
      <c r="G21" s="19">
        <f t="shared" si="4"/>
        <v>125576.31909264025</v>
      </c>
      <c r="H21" s="20">
        <f t="shared" si="5"/>
        <v>69.066975500952125</v>
      </c>
      <c r="I21" s="27">
        <f t="shared" si="6"/>
        <v>60.926063583656941</v>
      </c>
      <c r="J21" s="19">
        <f t="shared" si="7"/>
        <v>343561.3556383379</v>
      </c>
      <c r="K21" s="20">
        <f t="shared" si="8"/>
        <v>33.878967014336091</v>
      </c>
      <c r="L21" s="27">
        <f t="shared" si="9"/>
        <v>24.121091804343575</v>
      </c>
      <c r="M21" s="19">
        <f t="shared" si="10"/>
        <v>438282.00364263792</v>
      </c>
      <c r="N21" s="20">
        <f t="shared" si="11"/>
        <v>6.8009276427305885</v>
      </c>
      <c r="O21" s="27">
        <f t="shared" si="12"/>
        <v>390.35370958444793</v>
      </c>
      <c r="P21" s="19">
        <f t="shared" si="13"/>
        <v>3852099.9564250088</v>
      </c>
      <c r="Q21" s="20">
        <f t="shared" si="14"/>
        <v>290.4361078256951</v>
      </c>
      <c r="R21" s="27">
        <f t="shared" si="15"/>
        <v>201.45093329749946</v>
      </c>
      <c r="S21" s="19">
        <f t="shared" si="16"/>
        <v>0</v>
      </c>
      <c r="T21" s="23">
        <f t="shared" si="17"/>
        <v>0</v>
      </c>
      <c r="U21" s="49">
        <f t="shared" si="18"/>
        <v>0</v>
      </c>
      <c r="V21" s="54">
        <v>1.3333333333333333</v>
      </c>
      <c r="W21" s="13">
        <f t="shared" si="19"/>
        <v>4759519.6347986246</v>
      </c>
      <c r="X21" s="25">
        <f t="shared" si="19"/>
        <v>574.78512676032233</v>
      </c>
    </row>
    <row r="22" spans="1:24" x14ac:dyDescent="0.2">
      <c r="A22" s="10">
        <v>19</v>
      </c>
      <c r="B22" s="15">
        <f t="shared" si="20"/>
        <v>798.5490667025008</v>
      </c>
      <c r="C22" s="27">
        <f t="shared" si="21"/>
        <v>205.10144474217034</v>
      </c>
      <c r="D22" s="19">
        <f t="shared" si="2"/>
        <v>0</v>
      </c>
      <c r="E22" s="20">
        <f t="shared" si="1"/>
        <v>77.977658676931924</v>
      </c>
      <c r="F22" s="27">
        <f t="shared" si="3"/>
        <v>98.848507994567285</v>
      </c>
      <c r="G22" s="19">
        <f t="shared" si="4"/>
        <v>60130.051072542483</v>
      </c>
      <c r="H22" s="20">
        <f t="shared" si="5"/>
        <v>33.071528089898365</v>
      </c>
      <c r="I22" s="27">
        <f t="shared" si="6"/>
        <v>60.048678866655941</v>
      </c>
      <c r="J22" s="19">
        <f t="shared" si="7"/>
        <v>164375.62793361803</v>
      </c>
      <c r="K22" s="20">
        <f t="shared" si="8"/>
        <v>16.209263310120669</v>
      </c>
      <c r="L22" s="27">
        <f t="shared" si="9"/>
        <v>23.428818969526525</v>
      </c>
      <c r="M22" s="19">
        <f t="shared" si="10"/>
        <v>206652.11435081976</v>
      </c>
      <c r="N22" s="20">
        <f t="shared" si="11"/>
        <v>3.2066707399265137</v>
      </c>
      <c r="O22" s="27">
        <f t="shared" si="12"/>
        <v>400.26712481762604</v>
      </c>
      <c r="P22" s="19">
        <f t="shared" si="13"/>
        <v>1917440.685515685</v>
      </c>
      <c r="Q22" s="20">
        <f t="shared" si="14"/>
        <v>144.5689405745953</v>
      </c>
      <c r="R22" s="27">
        <f t="shared" si="15"/>
        <v>212.30542460945406</v>
      </c>
      <c r="S22" s="19">
        <f t="shared" si="16"/>
        <v>0</v>
      </c>
      <c r="T22" s="23">
        <f t="shared" si="17"/>
        <v>0</v>
      </c>
      <c r="U22" s="49">
        <f t="shared" si="18"/>
        <v>0</v>
      </c>
      <c r="V22" s="54">
        <v>0.66666666666666663</v>
      </c>
      <c r="W22" s="13">
        <f t="shared" si="19"/>
        <v>2348598.4788726652</v>
      </c>
      <c r="X22" s="25">
        <f t="shared" si="19"/>
        <v>275.03406139147279</v>
      </c>
    </row>
    <row r="23" spans="1:24" x14ac:dyDescent="0.2">
      <c r="A23" s="10">
        <v>20</v>
      </c>
      <c r="B23" s="15">
        <f t="shared" si="20"/>
        <v>787.69457539054611</v>
      </c>
      <c r="C23" s="27">
        <f t="shared" si="21"/>
        <v>188.69332916279672</v>
      </c>
      <c r="D23" s="19">
        <f t="shared" si="2"/>
        <v>0</v>
      </c>
      <c r="E23" s="20">
        <f t="shared" si="1"/>
        <v>139.29989511218909</v>
      </c>
      <c r="F23" s="27">
        <f t="shared" si="3"/>
        <v>97.522392617791368</v>
      </c>
      <c r="G23" s="19">
        <f t="shared" si="4"/>
        <v>115191.00646978454</v>
      </c>
      <c r="H23" s="20">
        <f t="shared" si="5"/>
        <v>63.355053558381499</v>
      </c>
      <c r="I23" s="27">
        <f t="shared" si="6"/>
        <v>59.192870459122538</v>
      </c>
      <c r="J23" s="19">
        <f t="shared" si="7"/>
        <v>314627.10906152346</v>
      </c>
      <c r="K23" s="20">
        <f t="shared" si="8"/>
        <v>31.025728810233566</v>
      </c>
      <c r="L23" s="27">
        <f t="shared" si="9"/>
        <v>22.772725762183356</v>
      </c>
      <c r="M23" s="19">
        <f t="shared" si="10"/>
        <v>390029.30904150184</v>
      </c>
      <c r="N23" s="20">
        <f t="shared" si="11"/>
        <v>6.0521789334026144</v>
      </c>
      <c r="O23" s="27">
        <f t="shared" si="12"/>
        <v>408.97028885236523</v>
      </c>
      <c r="P23" s="19">
        <f t="shared" si="13"/>
        <v>3804140.476418294</v>
      </c>
      <c r="Q23" s="20">
        <f t="shared" si="14"/>
        <v>286.82011528550635</v>
      </c>
      <c r="R23" s="27">
        <f t="shared" si="15"/>
        <v>222.848393145741</v>
      </c>
      <c r="S23" s="19">
        <f t="shared" si="16"/>
        <v>0</v>
      </c>
      <c r="T23" s="23">
        <f t="shared" si="17"/>
        <v>0</v>
      </c>
      <c r="U23" s="49">
        <f t="shared" si="18"/>
        <v>0</v>
      </c>
      <c r="V23" s="54">
        <v>1.3333333333333333</v>
      </c>
      <c r="W23" s="13">
        <f t="shared" si="19"/>
        <v>4623987.9009911036</v>
      </c>
      <c r="X23" s="25">
        <f t="shared" si="19"/>
        <v>526.55297169971311</v>
      </c>
    </row>
    <row r="24" spans="1:24" x14ac:dyDescent="0.2">
      <c r="A24" s="10">
        <v>21</v>
      </c>
      <c r="B24" s="15">
        <f t="shared" si="20"/>
        <v>777.15160685425917</v>
      </c>
      <c r="C24" s="27">
        <f t="shared" si="21"/>
        <v>173.59786282977299</v>
      </c>
      <c r="D24" s="19">
        <f t="shared" si="2"/>
        <v>0</v>
      </c>
      <c r="E24" s="20">
        <f t="shared" si="1"/>
        <v>62.21160364233689</v>
      </c>
      <c r="F24" s="27">
        <f t="shared" si="3"/>
        <v>96.232379625278611</v>
      </c>
      <c r="G24" s="19">
        <f t="shared" si="4"/>
        <v>55178.289052346234</v>
      </c>
      <c r="H24" s="20">
        <f t="shared" si="5"/>
        <v>30.34805897879043</v>
      </c>
      <c r="I24" s="27">
        <f t="shared" si="6"/>
        <v>58.359870185665073</v>
      </c>
      <c r="J24" s="19">
        <f t="shared" si="7"/>
        <v>150582.26861016566</v>
      </c>
      <c r="K24" s="20">
        <f t="shared" si="8"/>
        <v>14.849084821280224</v>
      </c>
      <c r="L24" s="27">
        <f t="shared" si="9"/>
        <v>22.152226741588024</v>
      </c>
      <c r="M24" s="19">
        <f t="shared" si="10"/>
        <v>184175.72794491026</v>
      </c>
      <c r="N24" s="20">
        <f t="shared" si="11"/>
        <v>2.8578992267313663</v>
      </c>
      <c r="O24" s="27">
        <f t="shared" si="12"/>
        <v>416.56154087897198</v>
      </c>
      <c r="P24" s="19">
        <f t="shared" si="13"/>
        <v>1880947.779236862</v>
      </c>
      <c r="Q24" s="20">
        <f t="shared" si="14"/>
        <v>141.81749129166815</v>
      </c>
      <c r="R24" s="27">
        <f t="shared" si="15"/>
        <v>233.0961197387235</v>
      </c>
      <c r="S24" s="19">
        <f t="shared" si="16"/>
        <v>0</v>
      </c>
      <c r="T24" s="23">
        <f t="shared" si="17"/>
        <v>0</v>
      </c>
      <c r="U24" s="49">
        <f t="shared" si="18"/>
        <v>0</v>
      </c>
      <c r="V24" s="54">
        <v>0.66666666666666663</v>
      </c>
      <c r="W24" s="13">
        <f t="shared" si="19"/>
        <v>2270884.0648442842</v>
      </c>
      <c r="X24" s="25">
        <f t="shared" si="19"/>
        <v>252.08413796080706</v>
      </c>
    </row>
    <row r="25" spans="1:24" x14ac:dyDescent="0.2">
      <c r="A25" s="10">
        <v>22</v>
      </c>
      <c r="B25" s="15">
        <f t="shared" si="20"/>
        <v>766.90388026127664</v>
      </c>
      <c r="C25" s="27">
        <f t="shared" si="21"/>
        <v>159.71003380339116</v>
      </c>
      <c r="D25" s="19">
        <f t="shared" si="2"/>
        <v>0</v>
      </c>
      <c r="E25" s="20">
        <f t="shared" si="1"/>
        <v>111.13529194359209</v>
      </c>
      <c r="F25" s="27">
        <f t="shared" si="3"/>
        <v>94.9770104511516</v>
      </c>
      <c r="G25" s="19">
        <f t="shared" si="4"/>
        <v>105744.617622833</v>
      </c>
      <c r="H25" s="20">
        <f t="shared" si="5"/>
        <v>58.159539692558148</v>
      </c>
      <c r="I25" s="27">
        <f t="shared" si="6"/>
        <v>57.549959485181205</v>
      </c>
      <c r="J25" s="19">
        <f t="shared" si="7"/>
        <v>288334.96590156178</v>
      </c>
      <c r="K25" s="20">
        <f t="shared" si="8"/>
        <v>28.433031359737349</v>
      </c>
      <c r="L25" s="27">
        <f t="shared" si="9"/>
        <v>21.566072526941504</v>
      </c>
      <c r="M25" s="19">
        <f t="shared" si="10"/>
        <v>348159.97251596896</v>
      </c>
      <c r="N25" s="20">
        <f t="shared" si="11"/>
        <v>5.4024823321443458</v>
      </c>
      <c r="O25" s="27">
        <f t="shared" si="12"/>
        <v>423.1323019608966</v>
      </c>
      <c r="P25" s="19">
        <f t="shared" si="13"/>
        <v>3709936.8646129048</v>
      </c>
      <c r="Q25" s="20">
        <f t="shared" si="14"/>
        <v>279.71746201446501</v>
      </c>
      <c r="R25" s="27">
        <f t="shared" si="15"/>
        <v>243.0646217724381</v>
      </c>
      <c r="S25" s="19">
        <f t="shared" si="16"/>
        <v>0</v>
      </c>
      <c r="T25" s="23">
        <f t="shared" si="17"/>
        <v>0</v>
      </c>
      <c r="U25" s="49">
        <f t="shared" si="18"/>
        <v>0</v>
      </c>
      <c r="V25" s="54">
        <v>1.3333333333333333</v>
      </c>
      <c r="W25" s="13">
        <f t="shared" si="19"/>
        <v>4452176.4206532687</v>
      </c>
      <c r="X25" s="25">
        <f t="shared" si="19"/>
        <v>482.84780734249694</v>
      </c>
    </row>
    <row r="26" spans="1:24" x14ac:dyDescent="0.2">
      <c r="A26" s="10">
        <v>23</v>
      </c>
      <c r="B26" s="15">
        <f t="shared" si="20"/>
        <v>756.93537822756207</v>
      </c>
      <c r="C26" s="27">
        <f t="shared" si="21"/>
        <v>146.93323109911987</v>
      </c>
      <c r="D26" s="19">
        <f t="shared" si="2"/>
        <v>0</v>
      </c>
      <c r="E26" s="20">
        <f t="shared" si="1"/>
        <v>49.633237178691623</v>
      </c>
      <c r="F26" s="27">
        <f t="shared" si="3"/>
        <v>93.754671555721984</v>
      </c>
      <c r="G26" s="19">
        <f t="shared" si="4"/>
        <v>50671.699684288564</v>
      </c>
      <c r="H26" s="20">
        <f t="shared" si="5"/>
        <v>27.869434826358713</v>
      </c>
      <c r="I26" s="27">
        <f t="shared" si="6"/>
        <v>56.762827077856706</v>
      </c>
      <c r="J26" s="19">
        <f t="shared" si="7"/>
        <v>138054.02926987983</v>
      </c>
      <c r="K26" s="20">
        <f t="shared" si="8"/>
        <v>13.613661219668703</v>
      </c>
      <c r="L26" s="27">
        <f t="shared" si="9"/>
        <v>21.012630524281846</v>
      </c>
      <c r="M26" s="19">
        <f t="shared" si="10"/>
        <v>164672.46319157901</v>
      </c>
      <c r="N26" s="20">
        <f t="shared" si="11"/>
        <v>2.5552623598693298</v>
      </c>
      <c r="O26" s="27">
        <f t="shared" si="12"/>
        <v>428.76728533345795</v>
      </c>
      <c r="P26" s="19">
        <f t="shared" si="13"/>
        <v>1824923.9019905338</v>
      </c>
      <c r="Q26" s="20">
        <f t="shared" si="14"/>
        <v>137.59346880087358</v>
      </c>
      <c r="R26" s="27">
        <f t="shared" si="15"/>
        <v>252.76935440956177</v>
      </c>
      <c r="S26" s="19">
        <f t="shared" si="16"/>
        <v>0</v>
      </c>
      <c r="T26" s="23">
        <f t="shared" si="17"/>
        <v>0</v>
      </c>
      <c r="U26" s="49">
        <f t="shared" si="18"/>
        <v>0</v>
      </c>
      <c r="V26" s="54">
        <v>0.66666666666666663</v>
      </c>
      <c r="W26" s="13">
        <f t="shared" si="19"/>
        <v>2178322.0941362809</v>
      </c>
      <c r="X26" s="25">
        <f t="shared" si="19"/>
        <v>231.26506438546193</v>
      </c>
    </row>
    <row r="27" spans="1:24" x14ac:dyDescent="0.2">
      <c r="A27" s="10">
        <v>24</v>
      </c>
      <c r="B27" s="15">
        <f t="shared" si="20"/>
        <v>747.23064559043837</v>
      </c>
      <c r="C27" s="27">
        <f t="shared" si="21"/>
        <v>135.17857261119028</v>
      </c>
      <c r="D27" s="19">
        <f t="shared" si="2"/>
        <v>0</v>
      </c>
      <c r="E27" s="20">
        <f t="shared" si="1"/>
        <v>88.665200396886007</v>
      </c>
      <c r="F27" s="27">
        <f t="shared" si="3"/>
        <v>92.563703686741007</v>
      </c>
      <c r="G27" s="19">
        <f t="shared" si="4"/>
        <v>97141.778355289018</v>
      </c>
      <c r="H27" s="20">
        <f t="shared" si="5"/>
        <v>53.427978095408953</v>
      </c>
      <c r="I27" s="27">
        <f t="shared" si="6"/>
        <v>55.997805257151875</v>
      </c>
      <c r="J27" s="19">
        <f t="shared" si="7"/>
        <v>264453.21184284426</v>
      </c>
      <c r="K27" s="20">
        <f t="shared" si="8"/>
        <v>26.078025056724918</v>
      </c>
      <c r="L27" s="27">
        <f t="shared" si="9"/>
        <v>20.490071634810626</v>
      </c>
      <c r="M27" s="19">
        <f t="shared" si="10"/>
        <v>311800.49857932923</v>
      </c>
      <c r="N27" s="20">
        <f t="shared" si="11"/>
        <v>4.8382835986447637</v>
      </c>
      <c r="O27" s="27">
        <f t="shared" si="12"/>
        <v>433.54480866461768</v>
      </c>
      <c r="P27" s="19">
        <f t="shared" si="13"/>
        <v>3583025.3356293165</v>
      </c>
      <c r="Q27" s="20">
        <f t="shared" si="14"/>
        <v>270.14873562284527</v>
      </c>
      <c r="R27" s="27">
        <f t="shared" si="15"/>
        <v>262.22503814548861</v>
      </c>
      <c r="S27" s="19">
        <f t="shared" si="16"/>
        <v>0</v>
      </c>
      <c r="T27" s="23">
        <f t="shared" si="17"/>
        <v>0</v>
      </c>
      <c r="U27" s="49">
        <f t="shared" si="18"/>
        <v>0</v>
      </c>
      <c r="V27" s="54">
        <v>1.3333333333333333</v>
      </c>
      <c r="W27" s="13">
        <f t="shared" si="19"/>
        <v>4256420.8244067794</v>
      </c>
      <c r="X27" s="25">
        <f t="shared" si="19"/>
        <v>443.15822277050989</v>
      </c>
    </row>
    <row r="28" spans="1:24" x14ac:dyDescent="0.2">
      <c r="A28" s="10">
        <v>25</v>
      </c>
      <c r="B28" s="15">
        <f t="shared" si="20"/>
        <v>737.7749618545115</v>
      </c>
      <c r="C28" s="27">
        <f t="shared" si="21"/>
        <v>124.36428680229506</v>
      </c>
      <c r="D28" s="19">
        <f t="shared" si="2"/>
        <v>0</v>
      </c>
      <c r="E28" s="20">
        <f t="shared" si="1"/>
        <v>39.598050662686958</v>
      </c>
      <c r="F28" s="27">
        <f t="shared" si="3"/>
        <v>91.402466723029647</v>
      </c>
      <c r="G28" s="19">
        <f t="shared" si="4"/>
        <v>46564.615627917308</v>
      </c>
      <c r="H28" s="20">
        <f t="shared" si="5"/>
        <v>25.610538595354523</v>
      </c>
      <c r="I28" s="27">
        <f t="shared" si="6"/>
        <v>55.254024730221921</v>
      </c>
      <c r="J28" s="19">
        <f t="shared" si="7"/>
        <v>126670.2236893222</v>
      </c>
      <c r="K28" s="20">
        <f t="shared" si="8"/>
        <v>12.491091502697051</v>
      </c>
      <c r="L28" s="27">
        <f t="shared" si="9"/>
        <v>19.996492332089996</v>
      </c>
      <c r="M28" s="19">
        <f t="shared" si="10"/>
        <v>147713.41173419912</v>
      </c>
      <c r="N28" s="20">
        <f t="shared" si="11"/>
        <v>2.292104664841021</v>
      </c>
      <c r="O28" s="27">
        <f t="shared" si="12"/>
        <v>437.53715903121002</v>
      </c>
      <c r="P28" s="19">
        <f t="shared" si="13"/>
        <v>1755349.5448627351</v>
      </c>
      <c r="Q28" s="20">
        <f t="shared" si="14"/>
        <v>132.34778314441257</v>
      </c>
      <c r="R28" s="27">
        <f t="shared" si="15"/>
        <v>271.4455703811534</v>
      </c>
      <c r="S28" s="19">
        <f t="shared" si="16"/>
        <v>0</v>
      </c>
      <c r="T28" s="23">
        <f t="shared" si="17"/>
        <v>0</v>
      </c>
      <c r="U28" s="49">
        <f t="shared" si="18"/>
        <v>0</v>
      </c>
      <c r="V28" s="54">
        <v>0.66666666666666663</v>
      </c>
      <c r="W28" s="13">
        <f t="shared" si="19"/>
        <v>2076297.7959141736</v>
      </c>
      <c r="X28" s="25">
        <f t="shared" si="19"/>
        <v>212.33956856999214</v>
      </c>
    </row>
    <row r="29" spans="1:24" x14ac:dyDescent="0.2">
      <c r="A29" s="10">
        <v>26</v>
      </c>
      <c r="B29" s="15">
        <f t="shared" si="20"/>
        <v>728.5544296188466</v>
      </c>
      <c r="C29" s="27">
        <f t="shared" si="21"/>
        <v>114.41514385811145</v>
      </c>
      <c r="D29" s="19">
        <f t="shared" si="2"/>
        <v>0</v>
      </c>
      <c r="E29" s="20">
        <f t="shared" si="1"/>
        <v>70.738265261499009</v>
      </c>
      <c r="F29" s="27">
        <f t="shared" si="3"/>
        <v>90.269376898155627</v>
      </c>
      <c r="G29" s="19">
        <f t="shared" si="4"/>
        <v>89295.859449245661</v>
      </c>
      <c r="H29" s="20">
        <f t="shared" si="5"/>
        <v>49.112722697085118</v>
      </c>
      <c r="I29" s="27">
        <f t="shared" si="6"/>
        <v>54.530515043710722</v>
      </c>
      <c r="J29" s="19">
        <f t="shared" si="7"/>
        <v>242740.91817863722</v>
      </c>
      <c r="K29" s="20">
        <f t="shared" si="8"/>
        <v>23.936951653726723</v>
      </c>
      <c r="L29" s="27">
        <f t="shared" si="9"/>
        <v>19.529992743601237</v>
      </c>
      <c r="M29" s="19">
        <f t="shared" si="10"/>
        <v>280130.86421491648</v>
      </c>
      <c r="N29" s="20">
        <f t="shared" si="11"/>
        <v>4.3468582378176697</v>
      </c>
      <c r="O29" s="27">
        <f t="shared" si="12"/>
        <v>440.81097952582707</v>
      </c>
      <c r="P29" s="19">
        <f t="shared" si="13"/>
        <v>3433949.0136525594</v>
      </c>
      <c r="Q29" s="20">
        <f t="shared" si="14"/>
        <v>258.90885420396279</v>
      </c>
      <c r="R29" s="27">
        <f t="shared" si="15"/>
        <v>280.44399193059388</v>
      </c>
      <c r="S29" s="19">
        <f t="shared" si="16"/>
        <v>0</v>
      </c>
      <c r="T29" s="23">
        <f t="shared" si="17"/>
        <v>0</v>
      </c>
      <c r="U29" s="49">
        <f t="shared" si="18"/>
        <v>0</v>
      </c>
      <c r="V29" s="54">
        <v>1.3333333333333333</v>
      </c>
      <c r="W29" s="13">
        <f t="shared" si="19"/>
        <v>4046116.6554953586</v>
      </c>
      <c r="X29" s="25">
        <f t="shared" si="19"/>
        <v>407.0436520540913</v>
      </c>
    </row>
    <row r="30" spans="1:24" x14ac:dyDescent="0.2">
      <c r="A30" s="10">
        <v>27</v>
      </c>
      <c r="B30" s="15">
        <f t="shared" si="20"/>
        <v>719.55600806940606</v>
      </c>
      <c r="C30" s="27">
        <f t="shared" si="21"/>
        <v>105.26193234946254</v>
      </c>
      <c r="D30" s="19">
        <f t="shared" si="2"/>
        <v>0</v>
      </c>
      <c r="E30" s="20">
        <f t="shared" si="1"/>
        <v>31.591846621640347</v>
      </c>
      <c r="F30" s="27">
        <f t="shared" si="3"/>
        <v>89.162926905183639</v>
      </c>
      <c r="G30" s="19">
        <f t="shared" si="4"/>
        <v>42816.185464252085</v>
      </c>
      <c r="H30" s="20">
        <f t="shared" si="5"/>
        <v>23.54890200533865</v>
      </c>
      <c r="I30" s="27">
        <f t="shared" si="6"/>
        <v>53.826268820900822</v>
      </c>
      <c r="J30" s="19">
        <f t="shared" si="7"/>
        <v>116313.5862521442</v>
      </c>
      <c r="K30" s="20">
        <f t="shared" si="8"/>
        <v>11.469811977641998</v>
      </c>
      <c r="L30" s="27">
        <f t="shared" si="9"/>
        <v>19.088725066938338</v>
      </c>
      <c r="M30" s="19">
        <f t="shared" si="10"/>
        <v>132913.34309116536</v>
      </c>
      <c r="N30" s="20">
        <f t="shared" si="11"/>
        <v>2.0624484272767036</v>
      </c>
      <c r="O30" s="27">
        <f t="shared" si="12"/>
        <v>443.42765819230016</v>
      </c>
      <c r="P30" s="19">
        <f t="shared" si="13"/>
        <v>1676860.7414320901</v>
      </c>
      <c r="Q30" s="20">
        <f t="shared" si="14"/>
        <v>126.42997653654646</v>
      </c>
      <c r="R30" s="27">
        <f t="shared" si="15"/>
        <v>289.23248866521442</v>
      </c>
      <c r="S30" s="19">
        <f t="shared" si="16"/>
        <v>0</v>
      </c>
      <c r="T30" s="23">
        <f t="shared" si="17"/>
        <v>0</v>
      </c>
      <c r="U30" s="49">
        <f t="shared" si="18"/>
        <v>0</v>
      </c>
      <c r="V30" s="54">
        <v>0.66666666666666663</v>
      </c>
      <c r="W30" s="13">
        <f t="shared" si="19"/>
        <v>1968903.8562396518</v>
      </c>
      <c r="X30" s="25">
        <f t="shared" si="19"/>
        <v>195.10298556844418</v>
      </c>
    </row>
    <row r="31" spans="1:24" x14ac:dyDescent="0.2">
      <c r="A31" s="10">
        <v>28</v>
      </c>
      <c r="B31" s="15">
        <f t="shared" si="20"/>
        <v>710.76751133478547</v>
      </c>
      <c r="C31" s="27">
        <f t="shared" si="21"/>
        <v>96.840977761505542</v>
      </c>
      <c r="D31" s="19">
        <f t="shared" si="2"/>
        <v>0</v>
      </c>
      <c r="E31" s="20">
        <f t="shared" si="1"/>
        <v>56.435920178464308</v>
      </c>
      <c r="F31" s="27">
        <f t="shared" si="3"/>
        <v>88.081695456502544</v>
      </c>
      <c r="G31" s="19">
        <f t="shared" si="4"/>
        <v>82130.051122931967</v>
      </c>
      <c r="H31" s="20">
        <f t="shared" si="5"/>
        <v>45.171528117612588</v>
      </c>
      <c r="I31" s="27">
        <f t="shared" si="6"/>
        <v>53.14028204724103</v>
      </c>
      <c r="J31" s="19">
        <f t="shared" si="7"/>
        <v>222973.26662178015</v>
      </c>
      <c r="K31" s="20">
        <f t="shared" si="8"/>
        <v>21.987641569647764</v>
      </c>
      <c r="L31" s="27">
        <f t="shared" si="9"/>
        <v>18.670922180098916</v>
      </c>
      <c r="M31" s="19">
        <f t="shared" si="10"/>
        <v>252435.36566408983</v>
      </c>
      <c r="N31" s="20">
        <f t="shared" si="11"/>
        <v>3.9171005016841525</v>
      </c>
      <c r="O31" s="27">
        <f t="shared" si="12"/>
        <v>445.4437076093152</v>
      </c>
      <c r="P31" s="19">
        <f t="shared" si="13"/>
        <v>3270843.9026268753</v>
      </c>
      <c r="Q31" s="20">
        <f t="shared" si="14"/>
        <v>246.61124662662942</v>
      </c>
      <c r="R31" s="27">
        <f t="shared" si="15"/>
        <v>297.82241494533667</v>
      </c>
      <c r="S31" s="19">
        <f t="shared" si="16"/>
        <v>0</v>
      </c>
      <c r="T31" s="23">
        <f t="shared" si="17"/>
        <v>0</v>
      </c>
      <c r="U31" s="49">
        <f t="shared" si="18"/>
        <v>0</v>
      </c>
      <c r="V31" s="54">
        <v>1.3333333333333333</v>
      </c>
      <c r="W31" s="13">
        <f t="shared" si="19"/>
        <v>3828382.5860356772</v>
      </c>
      <c r="X31" s="25">
        <f t="shared" si="19"/>
        <v>374.12343699403823</v>
      </c>
    </row>
    <row r="32" spans="1:24" x14ac:dyDescent="0.2">
      <c r="A32" s="10">
        <v>29</v>
      </c>
      <c r="B32" s="15">
        <f t="shared" si="20"/>
        <v>702.17758505466327</v>
      </c>
      <c r="C32" s="27">
        <f t="shared" si="21"/>
        <v>89.093699540585106</v>
      </c>
      <c r="D32" s="19">
        <f t="shared" si="2"/>
        <v>0</v>
      </c>
      <c r="E32" s="20">
        <f t="shared" si="1"/>
        <v>25.20439153601319</v>
      </c>
      <c r="F32" s="27">
        <f t="shared" si="3"/>
        <v>87.024350417629734</v>
      </c>
      <c r="G32" s="19">
        <f t="shared" si="4"/>
        <v>39390.364300119589</v>
      </c>
      <c r="H32" s="20">
        <f t="shared" si="5"/>
        <v>21.664700365065773</v>
      </c>
      <c r="I32" s="27">
        <f t="shared" si="6"/>
        <v>52.471578590416229</v>
      </c>
      <c r="J32" s="19">
        <f t="shared" si="7"/>
        <v>106877.39279546072</v>
      </c>
      <c r="K32" s="20">
        <f t="shared" si="8"/>
        <v>10.539298456219042</v>
      </c>
      <c r="L32" s="27">
        <f t="shared" si="9"/>
        <v>18.274913174750669</v>
      </c>
      <c r="M32" s="19">
        <f t="shared" si="10"/>
        <v>119942.34393882318</v>
      </c>
      <c r="N32" s="20">
        <f t="shared" si="11"/>
        <v>1.8611743024989802</v>
      </c>
      <c r="O32" s="27">
        <f t="shared" si="12"/>
        <v>446.91112835023694</v>
      </c>
      <c r="P32" s="19">
        <f t="shared" si="13"/>
        <v>1593018.937334412</v>
      </c>
      <c r="Q32" s="20">
        <f t="shared" si="14"/>
        <v>120.10857067203898</v>
      </c>
      <c r="R32" s="27">
        <f t="shared" si="15"/>
        <v>306.22432992638119</v>
      </c>
      <c r="S32" s="19">
        <f t="shared" si="16"/>
        <v>0</v>
      </c>
      <c r="T32" s="23">
        <f t="shared" si="17"/>
        <v>0</v>
      </c>
      <c r="U32" s="49">
        <f t="shared" si="18"/>
        <v>0</v>
      </c>
      <c r="V32" s="54">
        <v>0.66666666666666663</v>
      </c>
      <c r="W32" s="13">
        <f t="shared" si="19"/>
        <v>1859229.0383688156</v>
      </c>
      <c r="X32" s="25">
        <f t="shared" si="19"/>
        <v>179.37813533183595</v>
      </c>
    </row>
    <row r="33" spans="1:24" ht="16" thickBot="1" x14ac:dyDescent="0.25">
      <c r="A33" s="11">
        <v>30</v>
      </c>
      <c r="B33" s="16">
        <f t="shared" si="20"/>
        <v>693.7756700736187</v>
      </c>
      <c r="C33" s="28">
        <f t="shared" si="21"/>
        <v>81.966203577338305</v>
      </c>
      <c r="D33" s="21">
        <f t="shared" si="2"/>
        <v>0</v>
      </c>
      <c r="E33" s="22">
        <f t="shared" si="1"/>
        <v>11.256330200549581</v>
      </c>
      <c r="F33" s="28">
        <f t="shared" si="3"/>
        <v>85.989648095521233</v>
      </c>
      <c r="G33" s="21">
        <f t="shared" si="4"/>
        <v>18894.184784419715</v>
      </c>
      <c r="H33" s="22">
        <f t="shared" si="5"/>
        <v>10.391801631430845</v>
      </c>
      <c r="I33" s="28">
        <f t="shared" si="6"/>
        <v>51.819224412566683</v>
      </c>
      <c r="J33" s="21">
        <f t="shared" si="7"/>
        <v>51237.202431266211</v>
      </c>
      <c r="K33" s="22">
        <f t="shared" si="8"/>
        <v>5.0525574619720839</v>
      </c>
      <c r="L33" s="28">
        <f t="shared" si="9"/>
        <v>17.899130371343617</v>
      </c>
      <c r="M33" s="21">
        <f t="shared" si="10"/>
        <v>57027.183166782837</v>
      </c>
      <c r="N33" s="22">
        <f t="shared" si="11"/>
        <v>0.88490456638111292</v>
      </c>
      <c r="O33" s="28">
        <f t="shared" si="12"/>
        <v>447.87775268821099</v>
      </c>
      <c r="P33" s="21">
        <f t="shared" si="13"/>
        <v>774982.75675498776</v>
      </c>
      <c r="Q33" s="22">
        <f t="shared" si="14"/>
        <v>58.431239596606211</v>
      </c>
      <c r="R33" s="28">
        <f t="shared" si="15"/>
        <v>314.44804085501897</v>
      </c>
      <c r="S33" s="21">
        <f t="shared" si="16"/>
        <v>0</v>
      </c>
      <c r="T33" s="24">
        <f t="shared" si="17"/>
        <v>0</v>
      </c>
      <c r="U33" s="49">
        <f t="shared" si="18"/>
        <v>0</v>
      </c>
      <c r="V33" s="54">
        <v>0.33333333333333331</v>
      </c>
      <c r="W33" s="13">
        <f t="shared" si="19"/>
        <v>902141.32713745651</v>
      </c>
      <c r="X33" s="25">
        <f t="shared" si="19"/>
        <v>86.016833456939835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86249960.569360718</v>
      </c>
      <c r="X34" s="31">
        <f>SUM(X3:X33)</f>
        <v>15714.010986326324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00B050"/>
  </sheetPr>
  <dimension ref="A1:G17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14.1640625" bestFit="1" customWidth="1"/>
    <col min="2" max="2" width="15.33203125" bestFit="1" customWidth="1"/>
    <col min="3" max="3" width="11.6640625" bestFit="1" customWidth="1"/>
    <col min="4" max="4" width="16.33203125" bestFit="1" customWidth="1"/>
    <col min="5" max="5" width="18" customWidth="1"/>
    <col min="6" max="6" width="9.5" bestFit="1" customWidth="1"/>
    <col min="7" max="7" width="10.6640625" bestFit="1" customWidth="1"/>
  </cols>
  <sheetData>
    <row r="1" spans="1:7" s="61" customFormat="1" ht="17" thickBot="1" x14ac:dyDescent="0.25">
      <c r="A1" s="60" t="s">
        <v>145</v>
      </c>
    </row>
    <row r="2" spans="1:7" x14ac:dyDescent="0.2">
      <c r="A2" s="32" t="s">
        <v>16</v>
      </c>
      <c r="B2" s="33" t="s">
        <v>17</v>
      </c>
      <c r="C2" s="33" t="s">
        <v>21</v>
      </c>
      <c r="D2" s="33" t="s">
        <v>18</v>
      </c>
      <c r="E2" s="33" t="s">
        <v>22</v>
      </c>
      <c r="F2" s="37" t="s">
        <v>19</v>
      </c>
      <c r="G2" s="37" t="s">
        <v>147</v>
      </c>
    </row>
    <row r="3" spans="1:7" x14ac:dyDescent="0.2">
      <c r="A3" s="34" t="s">
        <v>23</v>
      </c>
      <c r="B3" s="46">
        <f>'Strategy 1 - phd'!X34</f>
        <v>25224653.159733046</v>
      </c>
      <c r="C3" s="38">
        <f>'Strategy 1 - phd'!Y34</f>
        <v>13882.58282984602</v>
      </c>
      <c r="D3" s="62" t="s">
        <v>20</v>
      </c>
      <c r="E3" s="62" t="s">
        <v>20</v>
      </c>
      <c r="F3" s="63" t="s">
        <v>20</v>
      </c>
      <c r="G3" s="63"/>
    </row>
    <row r="4" spans="1:7" x14ac:dyDescent="0.2">
      <c r="A4" s="56" t="s">
        <v>143</v>
      </c>
      <c r="B4" s="57">
        <f>'Strategy 3 - phd'!X34</f>
        <v>50710441.472377717</v>
      </c>
      <c r="C4" s="58">
        <f>'Strategy 3 - phd'!Y34</f>
        <v>14069.869617744671</v>
      </c>
      <c r="D4" s="57">
        <f>B4-B3</f>
        <v>25485788.312644672</v>
      </c>
      <c r="E4" s="58">
        <f>C4-C3</f>
        <v>187.2867878986508</v>
      </c>
      <c r="F4" s="59">
        <f>IFERROR(D4/E4, "n/a")</f>
        <v>136078.94394791033</v>
      </c>
      <c r="G4" s="59"/>
    </row>
    <row r="5" spans="1:7" x14ac:dyDescent="0.2">
      <c r="A5" s="56" t="s">
        <v>142</v>
      </c>
      <c r="B5" s="57">
        <f>'Strategy 2 - phd'!X34</f>
        <v>66750940.802931659</v>
      </c>
      <c r="C5" s="58">
        <f>'Strategy 2 - phd'!Y34</f>
        <v>14403.149927861437</v>
      </c>
      <c r="D5" s="57">
        <f>B5-B4</f>
        <v>16040499.330553941</v>
      </c>
      <c r="E5" s="58">
        <f>C5-C4</f>
        <v>333.28031011676649</v>
      </c>
      <c r="F5" s="59">
        <f>IFERROR(D5/E5, "n/a")</f>
        <v>48129.153879309786</v>
      </c>
      <c r="G5" s="59"/>
    </row>
    <row r="6" spans="1:7" ht="16" thickBot="1" x14ac:dyDescent="0.25">
      <c r="A6" s="35" t="s">
        <v>144</v>
      </c>
      <c r="B6" s="47">
        <f>'Strategy 4 - phd'!X34</f>
        <v>73988388.950559244</v>
      </c>
      <c r="C6" s="36">
        <f>'Strategy 4 - phd'!Y34</f>
        <v>14219.57321722995</v>
      </c>
      <c r="D6" s="47">
        <f>B6-B5</f>
        <v>7237448.1476275846</v>
      </c>
      <c r="E6" s="36">
        <f xml:space="preserve"> C6-C5</f>
        <v>-183.576710631487</v>
      </c>
      <c r="F6" s="64">
        <f>IFERROR(D6/E6, "n/a")</f>
        <v>-39424.653174857682</v>
      </c>
      <c r="G6" s="64" t="s">
        <v>148</v>
      </c>
    </row>
    <row r="8" spans="1:7" s="61" customFormat="1" ht="17" thickBot="1" x14ac:dyDescent="0.25">
      <c r="A8" s="60" t="s">
        <v>146</v>
      </c>
    </row>
    <row r="9" spans="1:7" x14ac:dyDescent="0.2">
      <c r="A9" s="32" t="s">
        <v>16</v>
      </c>
      <c r="B9" s="33" t="s">
        <v>17</v>
      </c>
      <c r="C9" s="33" t="s">
        <v>21</v>
      </c>
      <c r="D9" s="33" t="s">
        <v>18</v>
      </c>
      <c r="E9" s="33" t="s">
        <v>22</v>
      </c>
      <c r="F9" s="37" t="s">
        <v>19</v>
      </c>
      <c r="G9" s="37" t="s">
        <v>147</v>
      </c>
    </row>
    <row r="10" spans="1:7" x14ac:dyDescent="0.2">
      <c r="A10" s="34" t="s">
        <v>23</v>
      </c>
      <c r="B10" s="46">
        <f>'Strategy 1 - phd'!X34</f>
        <v>25224653.159733046</v>
      </c>
      <c r="C10" s="38">
        <f>'Strategy 1 - phd'!Y34</f>
        <v>13882.58282984602</v>
      </c>
      <c r="D10" s="62" t="s">
        <v>20</v>
      </c>
      <c r="E10" s="62" t="s">
        <v>20</v>
      </c>
      <c r="F10" s="63" t="s">
        <v>20</v>
      </c>
      <c r="G10" s="63"/>
    </row>
    <row r="11" spans="1:7" x14ac:dyDescent="0.2">
      <c r="A11" s="56" t="s">
        <v>143</v>
      </c>
      <c r="B11" s="57">
        <f>'Strategy 3 - phd'!X34</f>
        <v>50710441.472377717</v>
      </c>
      <c r="C11" s="58">
        <f>'Strategy 3 - phd'!Y34</f>
        <v>14069.869617744671</v>
      </c>
      <c r="D11" s="57">
        <f>B11-B10</f>
        <v>25485788.312644672</v>
      </c>
      <c r="E11" s="58">
        <f>C11-C10</f>
        <v>187.2867878986508</v>
      </c>
      <c r="F11" s="59">
        <f>D11/E11</f>
        <v>136078.94394791033</v>
      </c>
      <c r="G11" s="59" t="s">
        <v>150</v>
      </c>
    </row>
    <row r="12" spans="1:7" ht="16" thickBot="1" x14ac:dyDescent="0.25">
      <c r="A12" s="35" t="s">
        <v>142</v>
      </c>
      <c r="B12" s="47">
        <f>'Strategy 2 - phd'!X34</f>
        <v>66750940.802931659</v>
      </c>
      <c r="C12" s="36">
        <f>'Strategy 2 - phd'!Y34</f>
        <v>14403.149927861437</v>
      </c>
      <c r="D12" s="47">
        <f>B12-B11</f>
        <v>16040499.330553941</v>
      </c>
      <c r="E12" s="65">
        <f>C12-C11</f>
        <v>333.28031011676649</v>
      </c>
      <c r="F12" s="64">
        <f>D12/E12</f>
        <v>48129.153879309786</v>
      </c>
      <c r="G12" s="64"/>
    </row>
    <row r="14" spans="1:7" s="61" customFormat="1" ht="17" thickBot="1" x14ac:dyDescent="0.25">
      <c r="A14" s="60" t="s">
        <v>149</v>
      </c>
    </row>
    <row r="15" spans="1:7" x14ac:dyDescent="0.2">
      <c r="A15" s="32" t="s">
        <v>16</v>
      </c>
      <c r="B15" s="33" t="s">
        <v>17</v>
      </c>
      <c r="C15" s="33" t="s">
        <v>21</v>
      </c>
      <c r="D15" s="33" t="s">
        <v>18</v>
      </c>
      <c r="E15" s="33" t="s">
        <v>22</v>
      </c>
      <c r="F15" s="37" t="s">
        <v>19</v>
      </c>
      <c r="G15" s="37" t="s">
        <v>147</v>
      </c>
    </row>
    <row r="16" spans="1:7" x14ac:dyDescent="0.2">
      <c r="A16" s="34" t="s">
        <v>23</v>
      </c>
      <c r="B16" s="46">
        <f>'Strategy 1 - phd'!X34</f>
        <v>25224653.159733046</v>
      </c>
      <c r="C16" s="38">
        <f>'Strategy 1 - phd'!Y34</f>
        <v>13882.58282984602</v>
      </c>
      <c r="D16" s="62" t="s">
        <v>20</v>
      </c>
      <c r="E16" s="62" t="s">
        <v>20</v>
      </c>
      <c r="F16" s="63" t="s">
        <v>20</v>
      </c>
      <c r="G16" s="63"/>
    </row>
    <row r="17" spans="1:7" ht="16" thickBot="1" x14ac:dyDescent="0.25">
      <c r="A17" s="35" t="s">
        <v>142</v>
      </c>
      <c r="B17" s="47">
        <f>'Strategy 2 - phd'!X34</f>
        <v>66750940.802931659</v>
      </c>
      <c r="C17" s="36">
        <f>'Strategy 2 - phd'!Y34</f>
        <v>14403.149927861437</v>
      </c>
      <c r="D17" s="47">
        <f>B17-B16</f>
        <v>41526287.643198609</v>
      </c>
      <c r="E17" s="65">
        <f>C17-C16</f>
        <v>520.56709801541729</v>
      </c>
      <c r="F17" s="64">
        <f>D17/E17</f>
        <v>79771.249088755809</v>
      </c>
      <c r="G17" s="64"/>
    </row>
  </sheetData>
  <sortState xmlns:xlrd2="http://schemas.microsoft.com/office/spreadsheetml/2017/richdata2" ref="A3:G6">
    <sortCondition ref="B3:B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DFB0-F258-E345-AE6E-2999F883A0BF}">
  <sheetPr>
    <tabColor rgb="FF00B050"/>
  </sheetPr>
  <dimension ref="A1:O9"/>
  <sheetViews>
    <sheetView zoomScale="125" zoomScaleNormal="228" workbookViewId="0">
      <selection activeCell="C5" sqref="C5"/>
    </sheetView>
  </sheetViews>
  <sheetFormatPr baseColWidth="10" defaultRowHeight="16" x14ac:dyDescent="0.2"/>
  <cols>
    <col min="1" max="2" width="10.83203125" style="74"/>
    <col min="3" max="3" width="16.83203125" style="74" bestFit="1" customWidth="1"/>
    <col min="4" max="4" width="12.1640625" style="74" bestFit="1" customWidth="1"/>
    <col min="5" max="5" width="15.83203125" style="74" customWidth="1"/>
    <col min="6" max="7" width="10.83203125" style="74" customWidth="1"/>
    <col min="8" max="12" width="10.83203125" style="74"/>
    <col min="13" max="14" width="15" style="74" bestFit="1" customWidth="1"/>
    <col min="15" max="15" width="13" style="74" bestFit="1" customWidth="1"/>
    <col min="16" max="16384" width="10.83203125" style="74"/>
  </cols>
  <sheetData>
    <row r="1" spans="1:15" x14ac:dyDescent="0.2">
      <c r="A1" s="73"/>
      <c r="B1"/>
      <c r="C1"/>
      <c r="D1"/>
      <c r="E1"/>
    </row>
    <row r="2" spans="1:15" x14ac:dyDescent="0.2">
      <c r="A2"/>
      <c r="B2" s="61"/>
      <c r="C2" s="61"/>
      <c r="D2" s="61" t="s">
        <v>151</v>
      </c>
      <c r="E2" s="61" t="s">
        <v>152</v>
      </c>
      <c r="F2" s="78"/>
      <c r="G2" s="74" t="s">
        <v>158</v>
      </c>
      <c r="L2" s="74" t="s">
        <v>157</v>
      </c>
    </row>
    <row r="3" spans="1:15" ht="17" thickBot="1" x14ac:dyDescent="0.25">
      <c r="A3"/>
      <c r="B3" s="61" t="s">
        <v>45</v>
      </c>
      <c r="C3" s="66"/>
      <c r="D3" s="72">
        <f>Parameters!D16</f>
        <v>0.35</v>
      </c>
      <c r="E3" s="72">
        <f>Parameters!E16</f>
        <v>0.5</v>
      </c>
      <c r="H3" s="74" t="s">
        <v>151</v>
      </c>
      <c r="I3" s="74" t="s">
        <v>152</v>
      </c>
      <c r="J3" s="74" t="s">
        <v>156</v>
      </c>
      <c r="M3" s="74" t="s">
        <v>151</v>
      </c>
      <c r="N3" s="74" t="s">
        <v>152</v>
      </c>
      <c r="O3" s="74" t="s">
        <v>156</v>
      </c>
    </row>
    <row r="4" spans="1:15" x14ac:dyDescent="0.2">
      <c r="A4"/>
      <c r="B4" s="61" t="s">
        <v>19</v>
      </c>
      <c r="C4" s="67">
        <f>('Strategy 2 - phd'!X34-'Strategy 1 - phd'!X34)/('Strategy 2 - phd'!Y34-'Strategy 1 - Status quo'!Y34)</f>
        <v>2883.139302943046</v>
      </c>
      <c r="D4" s="68">
        <v>75242.790515618355</v>
      </c>
      <c r="E4" s="69">
        <v>74864.766072869606</v>
      </c>
      <c r="G4" s="74" t="str">
        <f>B3</f>
        <v>pStage3Death</v>
      </c>
      <c r="H4" s="79">
        <f>D4</f>
        <v>75242.790515618355</v>
      </c>
      <c r="I4" s="79">
        <f>-E4</f>
        <v>-74864.766072869606</v>
      </c>
      <c r="J4" s="79">
        <f>ABS(-I4-H4)</f>
        <v>378.0244427487487</v>
      </c>
      <c r="L4" s="74" t="str">
        <f>B3</f>
        <v>pStage3Death</v>
      </c>
      <c r="M4" s="79">
        <f>D5</f>
        <v>6259327.7429329008</v>
      </c>
      <c r="N4" s="79">
        <f>-E5</f>
        <v>-7293816.2788028866</v>
      </c>
      <c r="O4" s="79">
        <f>ABS(-N4-M4)</f>
        <v>1034488.5358699858</v>
      </c>
    </row>
    <row r="5" spans="1:15" ht="17" thickBot="1" x14ac:dyDescent="0.25">
      <c r="A5"/>
      <c r="B5" s="61" t="s">
        <v>153</v>
      </c>
      <c r="C5" s="67">
        <f>'Strategy 2 - Treatment A'!X34*wtp-'Strategy 2 - Treatment A'!W34</f>
        <v>5058725.9239503294</v>
      </c>
      <c r="D5" s="70">
        <v>6259327.7429329008</v>
      </c>
      <c r="E5" s="71">
        <v>7293816.2788028866</v>
      </c>
      <c r="G5" s="74" t="str">
        <f>B7</f>
        <v>cTrtA</v>
      </c>
      <c r="H5" s="79">
        <f>D8</f>
        <v>57410.500160241951</v>
      </c>
      <c r="I5" s="79">
        <f>-E8</f>
        <v>-79614.840828655011</v>
      </c>
      <c r="J5" s="79">
        <f>ABS(-I5-H5)</f>
        <v>22204.34066841306</v>
      </c>
      <c r="L5" s="74" t="str">
        <f>B7</f>
        <v>cTrtA</v>
      </c>
      <c r="M5" s="79">
        <f>D9</f>
        <v>18085488.708717667</v>
      </c>
      <c r="N5" s="79">
        <f>-E9</f>
        <v>-3538524.9212962985</v>
      </c>
      <c r="O5" s="79">
        <f>ABS(-N5-M5)</f>
        <v>14546963.787421368</v>
      </c>
    </row>
    <row r="6" spans="1:15" x14ac:dyDescent="0.2">
      <c r="B6" s="1"/>
      <c r="C6" s="1"/>
      <c r="D6" s="1"/>
      <c r="E6" s="1"/>
    </row>
    <row r="7" spans="1:15" x14ac:dyDescent="0.2">
      <c r="B7" s="74" t="s">
        <v>101</v>
      </c>
      <c r="C7" s="77"/>
      <c r="D7" s="164">
        <f>Parameters!D52</f>
        <v>8000</v>
      </c>
      <c r="E7" s="164">
        <f>Parameters!E52</f>
        <v>10500</v>
      </c>
    </row>
    <row r="8" spans="1:15" x14ac:dyDescent="0.2">
      <c r="B8" s="74" t="s">
        <v>19</v>
      </c>
      <c r="C8" s="67">
        <f>('Strategy 2 - Treatment A'!W34-'Strategy 1 - Status quo'!W34)/('Strategy 2 - Treatment A'!X34-'Strategy 1 - Status quo'!X34)</f>
        <v>75173.972694971962</v>
      </c>
      <c r="D8" s="162">
        <v>57410.500160241951</v>
      </c>
      <c r="E8" s="163">
        <v>79614.840828655011</v>
      </c>
    </row>
    <row r="9" spans="1:15" ht="17" thickBot="1" x14ac:dyDescent="0.25">
      <c r="B9" s="74" t="s">
        <v>153</v>
      </c>
      <c r="C9" s="67">
        <f>'Strategy 2 - Treatment A'!X34*wtp-'Strategy 2 - Treatment A'!W34</f>
        <v>5058725.9239503294</v>
      </c>
      <c r="D9" s="76">
        <v>18085488.708717667</v>
      </c>
      <c r="E9" s="75">
        <v>3538524.9212962985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18B7-873E-7E42-994B-8627E8575AE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75E0-E3C9-FA45-B5DA-8E8733AF06A0}">
  <dimension ref="B1:BH63"/>
  <sheetViews>
    <sheetView topLeftCell="E1" workbookViewId="0">
      <selection activeCell="W69" sqref="W69"/>
    </sheetView>
  </sheetViews>
  <sheetFormatPr baseColWidth="10" defaultRowHeight="15" x14ac:dyDescent="0.2"/>
  <sheetData>
    <row r="1" spans="2:60" ht="16" thickBot="1" x14ac:dyDescent="0.25"/>
    <row r="2" spans="2:60" ht="17" thickBot="1" x14ac:dyDescent="0.25">
      <c r="B2" s="61"/>
      <c r="C2" s="230" t="s">
        <v>159</v>
      </c>
      <c r="D2" s="231"/>
      <c r="E2" s="231"/>
      <c r="F2" s="231"/>
      <c r="G2" s="231"/>
      <c r="H2" s="231"/>
      <c r="I2" s="232"/>
      <c r="J2" s="83"/>
      <c r="K2" s="84" t="s">
        <v>160</v>
      </c>
      <c r="L2" s="85"/>
      <c r="M2" s="85"/>
      <c r="N2" s="85"/>
      <c r="O2" s="85"/>
      <c r="P2" s="85"/>
      <c r="Q2" s="86"/>
      <c r="R2" s="83"/>
      <c r="S2" s="84" t="s">
        <v>161</v>
      </c>
      <c r="T2" s="85"/>
      <c r="U2" s="85"/>
      <c r="V2" s="85"/>
      <c r="W2" s="85"/>
      <c r="X2" s="85"/>
      <c r="Y2" s="86"/>
      <c r="Z2" s="83"/>
      <c r="AA2" s="61"/>
      <c r="AB2" s="61"/>
      <c r="AC2" s="61"/>
      <c r="AD2" s="61"/>
      <c r="AE2" s="61"/>
      <c r="AF2" s="61"/>
      <c r="AG2" s="61"/>
      <c r="AH2" s="230" t="s">
        <v>162</v>
      </c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1"/>
      <c r="AY2" s="231"/>
      <c r="AZ2" s="231"/>
      <c r="BA2" s="231"/>
      <c r="BB2" s="231"/>
      <c r="BC2" s="231"/>
      <c r="BD2" s="231"/>
      <c r="BE2" s="231"/>
      <c r="BF2" s="231"/>
      <c r="BG2" s="231"/>
      <c r="BH2" s="232"/>
    </row>
    <row r="3" spans="2:60" ht="16" x14ac:dyDescent="0.2">
      <c r="B3" s="61"/>
      <c r="C3" s="233" t="s">
        <v>163</v>
      </c>
      <c r="D3" s="234"/>
      <c r="E3" s="234"/>
      <c r="F3" s="234"/>
      <c r="G3" s="234"/>
      <c r="H3" s="234"/>
      <c r="I3" s="235"/>
      <c r="J3" s="83"/>
      <c r="K3" s="87"/>
      <c r="L3" s="228" t="s">
        <v>164</v>
      </c>
      <c r="M3" s="228"/>
      <c r="N3" s="228"/>
      <c r="O3" s="228"/>
      <c r="P3" s="228"/>
      <c r="Q3" s="229"/>
      <c r="R3" s="83"/>
      <c r="S3" s="87"/>
      <c r="T3" s="228" t="s">
        <v>164</v>
      </c>
      <c r="U3" s="228"/>
      <c r="V3" s="228"/>
      <c r="W3" s="228"/>
      <c r="X3" s="228"/>
      <c r="Y3" s="229"/>
      <c r="Z3" s="83"/>
      <c r="AA3" s="88" t="s">
        <v>165</v>
      </c>
      <c r="AB3" s="89"/>
      <c r="AC3" s="89"/>
      <c r="AD3" s="89"/>
      <c r="AE3" s="89"/>
      <c r="AF3" s="89"/>
      <c r="AG3" s="61"/>
      <c r="AH3" s="90" t="s">
        <v>166</v>
      </c>
      <c r="AI3" s="88"/>
      <c r="AJ3" s="88"/>
      <c r="AK3" s="88"/>
      <c r="AL3" s="89"/>
      <c r="AM3" s="89"/>
      <c r="AN3" s="61"/>
      <c r="AO3" s="88" t="s">
        <v>167</v>
      </c>
      <c r="AP3" s="88"/>
      <c r="AQ3" s="88"/>
      <c r="AR3" s="88"/>
      <c r="AS3" s="89"/>
      <c r="AT3" s="89"/>
      <c r="AU3" s="61"/>
      <c r="AV3" s="88" t="s">
        <v>168</v>
      </c>
      <c r="AW3" s="88"/>
      <c r="AX3" s="88"/>
      <c r="AY3" s="88"/>
      <c r="AZ3" s="89"/>
      <c r="BA3" s="89"/>
      <c r="BB3" s="61"/>
      <c r="BC3" s="88" t="s">
        <v>169</v>
      </c>
      <c r="BD3" s="88"/>
      <c r="BE3" s="88"/>
      <c r="BF3" s="88"/>
      <c r="BG3" s="89"/>
      <c r="BH3" s="91"/>
    </row>
    <row r="4" spans="2:60" ht="17" x14ac:dyDescent="0.2">
      <c r="B4" s="92" t="s">
        <v>170</v>
      </c>
      <c r="C4" s="93" t="s">
        <v>171</v>
      </c>
      <c r="D4" s="94" t="s">
        <v>7</v>
      </c>
      <c r="E4" s="123" t="s">
        <v>8</v>
      </c>
      <c r="F4" s="123" t="s">
        <v>9</v>
      </c>
      <c r="G4" s="123" t="s">
        <v>10</v>
      </c>
      <c r="H4" s="123" t="s">
        <v>11</v>
      </c>
      <c r="I4" s="95" t="s">
        <v>12</v>
      </c>
      <c r="J4" s="96"/>
      <c r="K4" s="97"/>
      <c r="L4" s="94" t="s">
        <v>7</v>
      </c>
      <c r="M4" s="123" t="s">
        <v>8</v>
      </c>
      <c r="N4" s="123" t="s">
        <v>9</v>
      </c>
      <c r="O4" s="123" t="s">
        <v>10</v>
      </c>
      <c r="P4" s="123" t="s">
        <v>11</v>
      </c>
      <c r="Q4" s="95" t="s">
        <v>12</v>
      </c>
      <c r="R4" s="96"/>
      <c r="S4" s="97"/>
      <c r="T4" s="94" t="s">
        <v>7</v>
      </c>
      <c r="U4" s="123" t="s">
        <v>8</v>
      </c>
      <c r="V4" s="123" t="s">
        <v>9</v>
      </c>
      <c r="W4" s="123" t="s">
        <v>10</v>
      </c>
      <c r="X4" s="123" t="s">
        <v>11</v>
      </c>
      <c r="Y4" s="95" t="s">
        <v>12</v>
      </c>
      <c r="Z4" s="96"/>
      <c r="AA4" s="98"/>
      <c r="AB4" s="61"/>
      <c r="AC4" s="61"/>
      <c r="AD4" s="61"/>
      <c r="AE4" s="61"/>
      <c r="AF4" s="61"/>
      <c r="AG4" s="61"/>
      <c r="AH4" s="99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100"/>
    </row>
    <row r="5" spans="2:60" ht="16" customHeight="1" x14ac:dyDescent="0.2">
      <c r="B5" s="101" t="s">
        <v>23</v>
      </c>
      <c r="C5" s="102" t="s">
        <v>7</v>
      </c>
      <c r="D5" s="103">
        <f>-(rHealthyStage1+rHealthyStage2+rHealthyStage3)</f>
        <v>-8.3381608939051138E-2</v>
      </c>
      <c r="E5" s="103">
        <f>rHealthyStage1</f>
        <v>5.2113505586906958E-2</v>
      </c>
      <c r="F5" s="103">
        <f>rHealthyStage2</f>
        <v>2.0845402234762785E-2</v>
      </c>
      <c r="G5" s="103">
        <f>rHealthyStage3</f>
        <v>1.0422701117381392E-2</v>
      </c>
      <c r="H5" s="104">
        <v>0</v>
      </c>
      <c r="I5" s="105">
        <v>0</v>
      </c>
      <c r="J5" s="106"/>
      <c r="K5" s="107" t="s">
        <v>182</v>
      </c>
      <c r="L5" s="108">
        <f>1-M5-N5-O5</f>
        <v>0.91999999999999993</v>
      </c>
      <c r="M5" s="108">
        <f>(rHealthyStage1/(rHealthyStage1+rHealthyStage2+rHealthyStage3))*(1-EXP(-(rHealthyStage1+rHealthyStage2+rHealthyStage3)))</f>
        <v>5.0000000000000044E-2</v>
      </c>
      <c r="N5" s="108">
        <f>(rHealthyStage2/(rHealthyStage1+rHealthyStage2+rHealthyStage3))*(1-EXP(-(rHealthyStage1+rHealthyStage2+rHealthyStage3)))</f>
        <v>2.0000000000000018E-2</v>
      </c>
      <c r="O5" s="108">
        <f>(rHealthyStage3/(rHealthyStage1+rHealthyStage2+rHealthyStage3))*(1-EXP(-(rHealthyStage1+rHealthyStage2+rHealthyStage3)))</f>
        <v>1.0000000000000009E-2</v>
      </c>
      <c r="P5" s="108">
        <v>0</v>
      </c>
      <c r="Q5" s="109">
        <v>0</v>
      </c>
      <c r="R5" s="106"/>
      <c r="S5" s="107" t="s">
        <v>183</v>
      </c>
      <c r="T5" s="110">
        <f>AA5+AH5+(1/FACT(2))*AO5 + (1/FACT(3))*AV5+(1/FACT(4))*BC5</f>
        <v>0.92000003312566181</v>
      </c>
      <c r="U5" s="110">
        <f t="shared" ref="U5:Y5" si="0">AB5+AI5+(1/FACT(2))*AP5 + (1/FACT(3))*AW5+(1/FACT(4))*BD5</f>
        <v>4.1304256399035844E-2</v>
      </c>
      <c r="V5" s="110">
        <f t="shared" si="0"/>
        <v>1.8347402401760853E-2</v>
      </c>
      <c r="W5" s="110">
        <f t="shared" si="0"/>
        <v>8.639796755089935E-3</v>
      </c>
      <c r="X5" s="110">
        <f t="shared" si="0"/>
        <v>8.8342077466245211E-3</v>
      </c>
      <c r="Y5" s="111">
        <f t="shared" si="0"/>
        <v>2.8743035718271285E-3</v>
      </c>
      <c r="Z5" s="106"/>
      <c r="AA5" s="112">
        <v>1</v>
      </c>
      <c r="AB5" s="112">
        <v>0</v>
      </c>
      <c r="AC5" s="112">
        <v>0</v>
      </c>
      <c r="AD5" s="112">
        <v>0</v>
      </c>
      <c r="AE5" s="112">
        <v>0</v>
      </c>
      <c r="AF5" s="112">
        <v>0</v>
      </c>
      <c r="AG5" s="61"/>
      <c r="AH5" s="126">
        <f>D5</f>
        <v>-8.3381608939051138E-2</v>
      </c>
      <c r="AI5" s="113">
        <f t="shared" ref="AI5:AM5" si="1">E5</f>
        <v>5.2113505586906958E-2</v>
      </c>
      <c r="AJ5" s="124">
        <f t="shared" si="1"/>
        <v>2.0845402234762785E-2</v>
      </c>
      <c r="AK5" s="124">
        <f t="shared" si="1"/>
        <v>1.0422701117381392E-2</v>
      </c>
      <c r="AL5" s="113">
        <f t="shared" si="1"/>
        <v>0</v>
      </c>
      <c r="AM5" s="113">
        <f t="shared" si="1"/>
        <v>0</v>
      </c>
      <c r="AN5" s="125"/>
      <c r="AO5" s="113" cm="1">
        <f t="array" ref="AO5:AT10">MMULT(AH5:AM10,AH5:AM10)</f>
        <v>6.9524927092648528E-3</v>
      </c>
      <c r="AP5" s="113">
        <v>-2.5463870147915513E-2</v>
      </c>
      <c r="AQ5" s="113">
        <v>-5.2498685002006461E-3</v>
      </c>
      <c r="AR5" s="113">
        <v>-4.1003903822803816E-3</v>
      </c>
      <c r="AS5" s="113">
        <v>2.1359617017132973E-2</v>
      </c>
      <c r="AT5" s="113">
        <v>6.5020193039987129E-3</v>
      </c>
      <c r="AU5" s="125"/>
      <c r="AV5" s="113" cm="1">
        <f t="array" ref="AV5:BA10">MMULT(_xlfn.ANCHORARRAY(AO5),D5:I10)</f>
        <v>-5.797100282355261E-4</v>
      </c>
      <c r="AW5" s="113">
        <v>1.3310726147457395E-2</v>
      </c>
      <c r="AX5" s="113">
        <v>5.654771322787176E-4</v>
      </c>
      <c r="AY5" s="113">
        <v>1.9089750294630455E-3</v>
      </c>
      <c r="AZ5" s="113">
        <v>-1.2647511651558144E-2</v>
      </c>
      <c r="BA5" s="113">
        <v>-2.5579566294054866E-3</v>
      </c>
      <c r="BB5" s="125"/>
      <c r="BC5" s="113" cm="1">
        <f t="array" ref="BC5:BH10">MMULT(_xlfn.ANCHORARRAY(AV5),D5:I10)</f>
        <v>4.8337154872380933E-5</v>
      </c>
      <c r="BD5" s="113">
        <v>-7.0984433237502153E-3</v>
      </c>
      <c r="BE5" s="113">
        <v>7.8451748124651376E-4</v>
      </c>
      <c r="BF5" s="113">
        <v>-1.2209202254825663E-3</v>
      </c>
      <c r="BG5" s="113">
        <v>6.2956283196254018E-3</v>
      </c>
      <c r="BH5" s="114">
        <v>1.1908805934884837E-3</v>
      </c>
    </row>
    <row r="6" spans="2:60" x14ac:dyDescent="0.2">
      <c r="B6" s="101" t="s">
        <v>23</v>
      </c>
      <c r="C6" s="102" t="s">
        <v>8</v>
      </c>
      <c r="D6" s="104">
        <v>0</v>
      </c>
      <c r="E6" s="103">
        <f>-(rStage1Remission+rStage1Stage2)</f>
        <v>-0.43078291609245428</v>
      </c>
      <c r="F6" s="103">
        <f>rStage1Stage2</f>
        <v>0.12308083316927264</v>
      </c>
      <c r="G6" s="104">
        <v>0</v>
      </c>
      <c r="H6" s="103">
        <f>rStage1Remission</f>
        <v>0.30770208292318163</v>
      </c>
      <c r="I6" s="105">
        <v>0</v>
      </c>
      <c r="J6" s="106"/>
      <c r="K6" s="107"/>
      <c r="L6" s="108">
        <v>0</v>
      </c>
      <c r="M6" s="108">
        <f>1-N6-P6</f>
        <v>0.65</v>
      </c>
      <c r="N6" s="108">
        <f>rStage1Stage2/(rStage1Remission+rStage1Stage2)*(1-EXP(-(rStage1Remission+rStage1Stage2)))</f>
        <v>9.9999999999999992E-2</v>
      </c>
      <c r="O6" s="108">
        <v>0</v>
      </c>
      <c r="P6" s="108">
        <f>rStage1Remission/(rStage1Remission+rStage1Stage2)*(1-EXP(-(rStage1Remission+rStage1Stage2)))</f>
        <v>0.25</v>
      </c>
      <c r="Q6" s="109">
        <f>(1-EXP(-I6))</f>
        <v>0</v>
      </c>
      <c r="R6" s="106"/>
      <c r="S6" s="107"/>
      <c r="T6" s="110">
        <f t="shared" ref="T6:T10" si="2">AA6+AH6+(1/FACT(2))*AO6 + (1/FACT(3))*AV6+(1/FACT(4))*BC6</f>
        <v>0</v>
      </c>
      <c r="U6" s="110">
        <f t="shared" ref="U6:U10" si="3">AB6+AI6+(1/FACT(2))*AP6 + (1/FACT(3))*AW6+(1/FACT(4))*BD6</f>
        <v>0.66520051192271612</v>
      </c>
      <c r="V6" s="110">
        <f t="shared" ref="V6:V10" si="4">AC6+AJ6+(1/FACT(2))*AQ6 + (1/FACT(3))*AX6+(1/FACT(4))*BE6</f>
        <v>8.337870947983668E-2</v>
      </c>
      <c r="W6" s="110">
        <f t="shared" ref="W6:W10" si="5">AD6+AK6+(1/FACT(2))*AR6 + (1/FACT(3))*AY6+(1/FACT(4))*BF6</f>
        <v>7.4929765711120094E-3</v>
      </c>
      <c r="X6" s="110">
        <f t="shared" ref="X6:X10" si="6">AE6+AL6+(1/FACT(2))*AS6 + (1/FACT(3))*AZ6+(1/FACT(4))*BG6</f>
        <v>0.24239527321074386</v>
      </c>
      <c r="Y6" s="111">
        <f t="shared" ref="Y6:Y10" si="7">AF6+AM6+(1/FACT(2))*AT6 + (1/FACT(3))*BA6+(1/FACT(4))*BH6</f>
        <v>1.5325288155911814E-3</v>
      </c>
      <c r="Z6" s="106"/>
      <c r="AA6" s="112">
        <v>0</v>
      </c>
      <c r="AB6" s="112">
        <v>1</v>
      </c>
      <c r="AC6" s="112">
        <v>0</v>
      </c>
      <c r="AD6" s="112">
        <v>0</v>
      </c>
      <c r="AE6" s="112">
        <v>0</v>
      </c>
      <c r="AF6" s="112">
        <v>0</v>
      </c>
      <c r="AG6" s="61"/>
      <c r="AH6" s="126">
        <f t="shared" ref="AH6:AH10" si="8">D6</f>
        <v>0</v>
      </c>
      <c r="AI6" s="113">
        <f t="shared" ref="AI6:AI10" si="9">E6</f>
        <v>-0.43078291609245428</v>
      </c>
      <c r="AJ6" s="124">
        <f t="shared" ref="AJ6:AJ10" si="10">F6</f>
        <v>0.12308083316927264</v>
      </c>
      <c r="AK6" s="124">
        <f t="shared" ref="AK6:AK10" si="11">G6</f>
        <v>0</v>
      </c>
      <c r="AL6" s="113">
        <f t="shared" ref="AL6:AL10" si="12">H6</f>
        <v>0.30770208292318163</v>
      </c>
      <c r="AM6" s="113">
        <f t="shared" ref="AM6:AM10" si="13">I6</f>
        <v>0</v>
      </c>
      <c r="AN6" s="125"/>
      <c r="AO6" s="113">
        <v>0</v>
      </c>
      <c r="AP6" s="113">
        <v>0.22677130163322565</v>
      </c>
      <c r="AQ6" s="113">
        <v>-9.9224825898109326E-2</v>
      </c>
      <c r="AR6" s="113">
        <v>2.3577316266499327E-2</v>
      </c>
      <c r="AS6" s="113">
        <v>-0.15112379200161563</v>
      </c>
      <c r="AT6" s="113">
        <v>0</v>
      </c>
      <c r="AU6" s="125"/>
      <c r="AV6" s="113">
        <v>0</v>
      </c>
      <c r="AW6" s="113">
        <v>-0.12039867681661633</v>
      </c>
      <c r="AX6" s="113">
        <v>7.2045213723318458E-2</v>
      </c>
      <c r="AY6" s="113">
        <v>-3.5350019138721718E-2</v>
      </c>
      <c r="AZ6" s="113">
        <v>6.899518696625484E-2</v>
      </c>
      <c r="BA6" s="113">
        <v>1.4708295265764729E-2</v>
      </c>
      <c r="BB6" s="125"/>
      <c r="BC6" s="113">
        <v>0</v>
      </c>
      <c r="BD6" s="113">
        <v>6.3941360031850691E-2</v>
      </c>
      <c r="BE6" s="113">
        <v>-5.0333912662425047E-2</v>
      </c>
      <c r="BF6" s="113">
        <v>3.8303719063583166E-2</v>
      </c>
      <c r="BG6" s="113">
        <v>-2.9858676944138258E-2</v>
      </c>
      <c r="BH6" s="114">
        <v>-2.2052489488870557E-2</v>
      </c>
    </row>
    <row r="7" spans="2:60" x14ac:dyDescent="0.2">
      <c r="B7" s="101" t="s">
        <v>23</v>
      </c>
      <c r="C7" s="102" t="s">
        <v>9</v>
      </c>
      <c r="D7" s="104">
        <v>0</v>
      </c>
      <c r="E7" s="103">
        <f>rStage2Stage1</f>
        <v>6.385320297074884E-2</v>
      </c>
      <c r="F7" s="103">
        <f>-(rStage2Remission+rStage2Stage1+rStage2Stage3)</f>
        <v>-0.51082562376599072</v>
      </c>
      <c r="G7" s="103">
        <f>rStage2Stage3</f>
        <v>0.19155960891224652</v>
      </c>
      <c r="H7" s="103">
        <f>rStage2Remission</f>
        <v>0.25541281188299536</v>
      </c>
      <c r="I7" s="105">
        <v>0</v>
      </c>
      <c r="J7" s="106"/>
      <c r="K7" s="107"/>
      <c r="L7" s="108">
        <v>0</v>
      </c>
      <c r="M7" s="108">
        <f>rStage2Stage1/(rStage2Stage1+rStage2Stage3+rStage2Remission)*(1-EXP(-(rStage2Stage1+rStage2Stage3+rStage2Remission)))</f>
        <v>0.05</v>
      </c>
      <c r="N7" s="108">
        <f>1-M7-O7-P7</f>
        <v>0.59999999999999987</v>
      </c>
      <c r="O7" s="108">
        <f>rStage2Stage3/(rStage2Stage1+rStage2Stage3+rStage2Remission)*(1-EXP(-(rStage2Stage1+rStage2Stage3+rStage2Remission)))</f>
        <v>0.15000000000000002</v>
      </c>
      <c r="P7" s="108">
        <f>rStage2Remission/(rStage2Stage1+rStage2Stage3+rStage2Remission)*(1-EXP(-(rStage2Stage1+rStage2Stage3+rStage2Remission)))</f>
        <v>0.2</v>
      </c>
      <c r="Q7" s="109">
        <v>0</v>
      </c>
      <c r="R7" s="106"/>
      <c r="S7" s="107"/>
      <c r="T7" s="110">
        <f t="shared" si="2"/>
        <v>0</v>
      </c>
      <c r="U7" s="110">
        <f t="shared" si="3"/>
        <v>4.9992448552161332E-2</v>
      </c>
      <c r="V7" s="110">
        <f t="shared" si="4"/>
        <v>0.61196507342168949</v>
      </c>
      <c r="W7" s="110">
        <f t="shared" si="5"/>
        <v>0.10464863647859855</v>
      </c>
      <c r="X7" s="110">
        <f t="shared" si="6"/>
        <v>0.19199390232056063</v>
      </c>
      <c r="Y7" s="111">
        <f t="shared" si="7"/>
        <v>4.139993922699E-2</v>
      </c>
      <c r="Z7" s="106"/>
      <c r="AA7" s="112">
        <v>0</v>
      </c>
      <c r="AB7" s="112">
        <v>0</v>
      </c>
      <c r="AC7" s="112">
        <v>1</v>
      </c>
      <c r="AD7" s="112">
        <v>0</v>
      </c>
      <c r="AE7" s="112">
        <v>0</v>
      </c>
      <c r="AF7" s="112">
        <v>0</v>
      </c>
      <c r="AG7" s="61"/>
      <c r="AH7" s="126">
        <f t="shared" si="8"/>
        <v>0</v>
      </c>
      <c r="AI7" s="113">
        <f t="shared" si="9"/>
        <v>6.385320297074884E-2</v>
      </c>
      <c r="AJ7" s="124">
        <f t="shared" si="10"/>
        <v>-0.51082562376599072</v>
      </c>
      <c r="AK7" s="124">
        <f t="shared" si="11"/>
        <v>0.19155960891224652</v>
      </c>
      <c r="AL7" s="113">
        <f t="shared" si="12"/>
        <v>0.25541281188299536</v>
      </c>
      <c r="AM7" s="113">
        <f t="shared" si="13"/>
        <v>0</v>
      </c>
      <c r="AN7" s="125"/>
      <c r="AO7" s="113">
        <v>0</v>
      </c>
      <c r="AP7" s="113">
        <v>-3.2451776703077764E-2</v>
      </c>
      <c r="AQ7" s="113">
        <v>0.29591629585649587</v>
      </c>
      <c r="AR7" s="113">
        <v>-0.23063255953765702</v>
      </c>
      <c r="AS7" s="113">
        <v>-0.1523330621597816</v>
      </c>
      <c r="AT7" s="113">
        <v>0.11950110254402049</v>
      </c>
      <c r="AU7" s="125"/>
      <c r="AV7" s="113">
        <v>0</v>
      </c>
      <c r="AW7" s="113">
        <v>1.6370203509326199E-2</v>
      </c>
      <c r="AX7" s="113">
        <v>-0.17939438436318092</v>
      </c>
      <c r="AY7" s="113">
        <v>0.21654791829388167</v>
      </c>
      <c r="AZ7" s="113">
        <v>9.0352340109938686E-2</v>
      </c>
      <c r="BA7" s="113">
        <v>-0.14387607754996562</v>
      </c>
      <c r="BB7" s="125"/>
      <c r="BC7" s="113">
        <v>0</v>
      </c>
      <c r="BD7" s="113">
        <v>-8.717599646471787E-3</v>
      </c>
      <c r="BE7" s="113">
        <v>0.11355871967909785</v>
      </c>
      <c r="BF7" s="113">
        <v>-0.18446429713119367</v>
      </c>
      <c r="BG7" s="113">
        <v>-5.5466444020808955E-2</v>
      </c>
      <c r="BH7" s="114">
        <v>0.13508962111937653</v>
      </c>
    </row>
    <row r="8" spans="2:60" x14ac:dyDescent="0.2">
      <c r="B8" s="101" t="s">
        <v>23</v>
      </c>
      <c r="C8" s="102" t="s">
        <v>10</v>
      </c>
      <c r="D8" s="104">
        <v>0</v>
      </c>
      <c r="E8" s="104">
        <v>0</v>
      </c>
      <c r="F8" s="103">
        <f>rStage3Stage2</f>
        <v>6.9314718055994526E-2</v>
      </c>
      <c r="G8" s="103">
        <f>-(rStage3Death+rStage3Stage2)</f>
        <v>-0.69314718055994529</v>
      </c>
      <c r="H8" s="104">
        <v>0</v>
      </c>
      <c r="I8" s="115">
        <f>rStage3Death</f>
        <v>0.62383246250395075</v>
      </c>
      <c r="J8" s="106"/>
      <c r="K8" s="107"/>
      <c r="L8" s="108">
        <v>0</v>
      </c>
      <c r="M8" s="108">
        <v>0</v>
      </c>
      <c r="N8" s="108">
        <f>rStage3Stage2/(rStage3Death+rStage3Stage2)*(1-EXP(-(rStage3Death+rStage3Stage2)))</f>
        <v>4.9999999999999996E-2</v>
      </c>
      <c r="O8" s="108">
        <f>1-N8-Q8</f>
        <v>0.49999999999999994</v>
      </c>
      <c r="P8" s="108">
        <v>0</v>
      </c>
      <c r="Q8" s="109">
        <f>rStage3Death/(rStage3Death+rStage3Stage2)*(1-EXP(-(rStage3Death+rStage3Stage2)))</f>
        <v>0.45</v>
      </c>
      <c r="R8" s="106"/>
      <c r="S8" s="107"/>
      <c r="T8" s="110">
        <f t="shared" si="2"/>
        <v>0</v>
      </c>
      <c r="U8" s="110">
        <f t="shared" si="3"/>
        <v>1.5276247123751721E-3</v>
      </c>
      <c r="V8" s="110">
        <f t="shared" si="4"/>
        <v>3.7866493743893781E-2</v>
      </c>
      <c r="W8" s="110">
        <f t="shared" si="5"/>
        <v>0.50498692598375206</v>
      </c>
      <c r="X8" s="110">
        <f t="shared" si="6"/>
        <v>5.9671950226568319E-3</v>
      </c>
      <c r="Y8" s="111">
        <f t="shared" si="7"/>
        <v>0.44965176053732209</v>
      </c>
      <c r="Z8" s="106"/>
      <c r="AA8" s="112">
        <v>0</v>
      </c>
      <c r="AB8" s="112">
        <v>0</v>
      </c>
      <c r="AC8" s="112">
        <v>0</v>
      </c>
      <c r="AD8" s="112">
        <v>1</v>
      </c>
      <c r="AE8" s="112">
        <v>0</v>
      </c>
      <c r="AF8" s="112">
        <v>0</v>
      </c>
      <c r="AG8" s="61"/>
      <c r="AH8" s="126">
        <f t="shared" si="8"/>
        <v>0</v>
      </c>
      <c r="AI8" s="113">
        <f t="shared" si="9"/>
        <v>0</v>
      </c>
      <c r="AJ8" s="124">
        <f t="shared" si="10"/>
        <v>6.9314718055994526E-2</v>
      </c>
      <c r="AK8" s="124">
        <f t="shared" si="11"/>
        <v>-0.69314718055994529</v>
      </c>
      <c r="AL8" s="113">
        <f t="shared" si="12"/>
        <v>0</v>
      </c>
      <c r="AM8" s="113">
        <f t="shared" si="13"/>
        <v>0.62383246250395075</v>
      </c>
      <c r="AN8" s="125"/>
      <c r="AO8" s="113">
        <v>0</v>
      </c>
      <c r="AP8" s="113">
        <v>4.4259667608896481E-3</v>
      </c>
      <c r="AQ8" s="113">
        <v>-8.3453035478937315E-2</v>
      </c>
      <c r="AR8" s="113">
        <v>0.49373091420087034</v>
      </c>
      <c r="AS8" s="113">
        <v>1.7703867043558592E-2</v>
      </c>
      <c r="AT8" s="113">
        <v>-0.43240771252638127</v>
      </c>
      <c r="AU8" s="125"/>
      <c r="AV8" s="113">
        <v>0</v>
      </c>
      <c r="AW8" s="113">
        <v>-5.3172321341526194E-3</v>
      </c>
      <c r="AX8" s="113">
        <v>7.8356590866861753E-2</v>
      </c>
      <c r="AY8" s="113">
        <v>-0.35821442197250258</v>
      </c>
      <c r="AZ8" s="113">
        <v>-2.283030878046232E-2</v>
      </c>
      <c r="BA8" s="113">
        <v>0.3080053720202558</v>
      </c>
      <c r="BB8" s="125"/>
      <c r="BC8" s="113">
        <v>0</v>
      </c>
      <c r="BD8" s="113">
        <v>4.8203205029388272E-3</v>
      </c>
      <c r="BE8" s="113">
        <v>-6.6747321210616981E-2</v>
      </c>
      <c r="BF8" s="113">
        <v>0.2633052745283036</v>
      </c>
      <c r="BG8" s="113">
        <v>2.2087511142910146E-2</v>
      </c>
      <c r="BH8" s="114">
        <v>-0.22346578496353561</v>
      </c>
    </row>
    <row r="9" spans="2:60" x14ac:dyDescent="0.2">
      <c r="B9" s="101" t="s">
        <v>23</v>
      </c>
      <c r="C9" s="102" t="s">
        <v>11</v>
      </c>
      <c r="D9" s="104">
        <v>0</v>
      </c>
      <c r="E9" s="103">
        <f>rRemissionStage1</f>
        <v>0.10834595299851661</v>
      </c>
      <c r="F9" s="103">
        <f>rRemissionStage2</f>
        <v>5.4172976499258306E-2</v>
      </c>
      <c r="G9" s="104">
        <v>0</v>
      </c>
      <c r="H9" s="103">
        <f>-(rRemissionStage1+rRemissionStage2)</f>
        <v>-0.16251892949777491</v>
      </c>
      <c r="I9" s="105">
        <v>0</v>
      </c>
      <c r="J9" s="106"/>
      <c r="K9" s="107"/>
      <c r="L9" s="108">
        <v>0</v>
      </c>
      <c r="M9" s="108">
        <f>E9/(E9+F9)*(1-EXP(-(E9+F9)))</f>
        <v>0.10000000000000002</v>
      </c>
      <c r="N9" s="108">
        <f>F9/(E9+F9)*(1-EXP(-(E9+F9)))</f>
        <v>5.000000000000001E-2</v>
      </c>
      <c r="O9" s="108">
        <v>0</v>
      </c>
      <c r="P9" s="108">
        <f>1-M9-N9</f>
        <v>0.85</v>
      </c>
      <c r="Q9" s="109">
        <v>0</v>
      </c>
      <c r="R9" s="106"/>
      <c r="S9" s="107"/>
      <c r="T9" s="110">
        <f t="shared" si="2"/>
        <v>0</v>
      </c>
      <c r="U9" s="110">
        <f t="shared" si="3"/>
        <v>8.2656029093525665E-2</v>
      </c>
      <c r="V9" s="110">
        <f t="shared" si="4"/>
        <v>4.3968020381350295E-2</v>
      </c>
      <c r="W9" s="110">
        <f t="shared" si="5"/>
        <v>3.6589363136687505E-3</v>
      </c>
      <c r="X9" s="110">
        <f t="shared" si="6"/>
        <v>0.86894025559308163</v>
      </c>
      <c r="Y9" s="111">
        <f t="shared" si="7"/>
        <v>7.7675861837368451E-4</v>
      </c>
      <c r="Z9" s="106"/>
      <c r="AA9" s="112">
        <v>0</v>
      </c>
      <c r="AB9" s="112">
        <v>0</v>
      </c>
      <c r="AC9" s="112">
        <v>0</v>
      </c>
      <c r="AD9" s="112">
        <v>0</v>
      </c>
      <c r="AE9" s="112">
        <v>1</v>
      </c>
      <c r="AF9" s="112">
        <v>0</v>
      </c>
      <c r="AG9" s="61"/>
      <c r="AH9" s="126">
        <f t="shared" si="8"/>
        <v>0</v>
      </c>
      <c r="AI9" s="113">
        <f t="shared" si="9"/>
        <v>0.10834595299851661</v>
      </c>
      <c r="AJ9" s="124">
        <f t="shared" si="10"/>
        <v>5.4172976499258306E-2</v>
      </c>
      <c r="AK9" s="124">
        <f t="shared" si="11"/>
        <v>0</v>
      </c>
      <c r="AL9" s="113">
        <f t="shared" si="12"/>
        <v>-0.16251892949777491</v>
      </c>
      <c r="AM9" s="113">
        <f t="shared" si="13"/>
        <v>0</v>
      </c>
      <c r="AN9" s="125"/>
      <c r="AO9" s="113">
        <v>0</v>
      </c>
      <c r="AP9" s="113">
        <v>-6.0822735812315384E-2</v>
      </c>
      <c r="AQ9" s="113">
        <v>-2.3141768494285279E-2</v>
      </c>
      <c r="AR9" s="113">
        <v>1.0377354191810243E-2</v>
      </c>
      <c r="AS9" s="113">
        <v>7.3587150114790417E-2</v>
      </c>
      <c r="AT9" s="113">
        <v>0</v>
      </c>
      <c r="AU9" s="125"/>
      <c r="AV9" s="113">
        <v>0</v>
      </c>
      <c r="AW9" s="113">
        <v>3.2696589364814364E-2</v>
      </c>
      <c r="AX9" s="113">
        <v>9.0410336605155506E-3</v>
      </c>
      <c r="AY9" s="113">
        <v>-1.1626061922028235E-2</v>
      </c>
      <c r="AZ9" s="113">
        <v>-3.6585291523054356E-2</v>
      </c>
      <c r="BA9" s="113">
        <v>6.4737304197526793E-3</v>
      </c>
      <c r="BB9" s="125"/>
      <c r="BC9" s="113">
        <v>0</v>
      </c>
      <c r="BD9" s="113">
        <v>-1.7471701431255864E-2</v>
      </c>
      <c r="BE9" s="113">
        <v>-3.3818595404311023E-3</v>
      </c>
      <c r="BF9" s="113">
        <v>9.7904689144400238E-3</v>
      </c>
      <c r="BG9" s="113">
        <v>1.8315806895289229E-2</v>
      </c>
      <c r="BH9" s="114">
        <v>-7.2527148380422887E-3</v>
      </c>
    </row>
    <row r="10" spans="2:60" x14ac:dyDescent="0.2">
      <c r="B10" s="101" t="s">
        <v>23</v>
      </c>
      <c r="C10" s="102" t="s">
        <v>12</v>
      </c>
      <c r="D10" s="104">
        <v>0</v>
      </c>
      <c r="E10" s="104">
        <v>0</v>
      </c>
      <c r="F10" s="104">
        <v>0</v>
      </c>
      <c r="G10" s="104">
        <v>0</v>
      </c>
      <c r="H10" s="104">
        <v>0</v>
      </c>
      <c r="I10" s="115">
        <v>0</v>
      </c>
      <c r="J10" s="106"/>
      <c r="K10" s="107"/>
      <c r="L10" s="108">
        <v>0</v>
      </c>
      <c r="M10" s="108">
        <v>0</v>
      </c>
      <c r="N10" s="108">
        <v>0</v>
      </c>
      <c r="O10" s="108">
        <v>0</v>
      </c>
      <c r="P10" s="108">
        <v>0</v>
      </c>
      <c r="Q10" s="109">
        <v>1</v>
      </c>
      <c r="R10" s="106"/>
      <c r="S10" s="107"/>
      <c r="T10" s="110">
        <f t="shared" si="2"/>
        <v>0</v>
      </c>
      <c r="U10" s="110">
        <f t="shared" si="3"/>
        <v>0</v>
      </c>
      <c r="V10" s="110">
        <f t="shared" si="4"/>
        <v>0</v>
      </c>
      <c r="W10" s="110">
        <f t="shared" si="5"/>
        <v>0</v>
      </c>
      <c r="X10" s="110">
        <f t="shared" si="6"/>
        <v>0</v>
      </c>
      <c r="Y10" s="111">
        <f t="shared" si="7"/>
        <v>1</v>
      </c>
      <c r="Z10" s="106"/>
      <c r="AA10" s="112">
        <v>0</v>
      </c>
      <c r="AB10" s="112">
        <v>0</v>
      </c>
      <c r="AC10" s="112">
        <v>0</v>
      </c>
      <c r="AD10" s="112">
        <v>0</v>
      </c>
      <c r="AE10" s="112">
        <v>0</v>
      </c>
      <c r="AF10" s="112">
        <v>1</v>
      </c>
      <c r="AG10" s="61"/>
      <c r="AH10" s="126">
        <f t="shared" si="8"/>
        <v>0</v>
      </c>
      <c r="AI10" s="113">
        <f t="shared" si="9"/>
        <v>0</v>
      </c>
      <c r="AJ10" s="124">
        <f t="shared" si="10"/>
        <v>0</v>
      </c>
      <c r="AK10" s="124">
        <f t="shared" si="11"/>
        <v>0</v>
      </c>
      <c r="AL10" s="113">
        <f t="shared" si="12"/>
        <v>0</v>
      </c>
      <c r="AM10" s="113">
        <f t="shared" si="13"/>
        <v>0</v>
      </c>
      <c r="AN10" s="125"/>
      <c r="AO10" s="113">
        <v>0</v>
      </c>
      <c r="AP10" s="113">
        <v>0</v>
      </c>
      <c r="AQ10" s="113">
        <v>0</v>
      </c>
      <c r="AR10" s="113">
        <v>0</v>
      </c>
      <c r="AS10" s="113">
        <v>0</v>
      </c>
      <c r="AT10" s="113">
        <v>0</v>
      </c>
      <c r="AU10" s="125"/>
      <c r="AV10" s="113">
        <v>0</v>
      </c>
      <c r="AW10" s="113">
        <v>0</v>
      </c>
      <c r="AX10" s="113">
        <v>0</v>
      </c>
      <c r="AY10" s="113">
        <v>0</v>
      </c>
      <c r="AZ10" s="113">
        <v>0</v>
      </c>
      <c r="BA10" s="113">
        <v>0</v>
      </c>
      <c r="BB10" s="125"/>
      <c r="BC10" s="113">
        <v>0</v>
      </c>
      <c r="BD10" s="113">
        <v>0</v>
      </c>
      <c r="BE10" s="113">
        <v>0</v>
      </c>
      <c r="BF10" s="113">
        <v>0</v>
      </c>
      <c r="BG10" s="113">
        <v>0</v>
      </c>
      <c r="BH10" s="114">
        <v>0</v>
      </c>
    </row>
    <row r="11" spans="2:60" ht="16" x14ac:dyDescent="0.2">
      <c r="B11" s="116"/>
      <c r="C11" s="117"/>
      <c r="D11" s="123"/>
      <c r="E11" s="123"/>
      <c r="F11" s="123"/>
      <c r="G11" s="123"/>
      <c r="H11" s="123"/>
      <c r="I11" s="95"/>
      <c r="J11" s="96"/>
      <c r="K11" s="97"/>
      <c r="L11" s="127"/>
      <c r="M11" s="127"/>
      <c r="N11" s="127"/>
      <c r="O11" s="127"/>
      <c r="P11" s="127"/>
      <c r="Q11" s="118"/>
      <c r="R11" s="96"/>
      <c r="S11" s="97"/>
      <c r="T11" s="127"/>
      <c r="U11" s="127"/>
      <c r="V11" s="127"/>
      <c r="W11" s="127"/>
      <c r="X11" s="127"/>
      <c r="Y11" s="118"/>
      <c r="Z11" s="96"/>
      <c r="AA11" s="61"/>
      <c r="AB11" s="61"/>
      <c r="AC11" s="61"/>
      <c r="AD11" s="61"/>
      <c r="AE11" s="61"/>
      <c r="AF11" s="61"/>
      <c r="AG11" s="61"/>
      <c r="AH11" s="119"/>
      <c r="AI11" s="125"/>
      <c r="AJ11" s="125"/>
      <c r="AK11" s="125"/>
      <c r="AL11" s="125"/>
      <c r="AM11" s="125"/>
      <c r="AN11" s="125"/>
      <c r="AO11" s="125"/>
      <c r="AP11" s="125"/>
      <c r="AQ11" s="125"/>
      <c r="AR11" s="125"/>
      <c r="AS11" s="125"/>
      <c r="AT11" s="125"/>
      <c r="AU11" s="125"/>
      <c r="AV11" s="125"/>
      <c r="AW11" s="125"/>
      <c r="AX11" s="125"/>
      <c r="AY11" s="125"/>
      <c r="AZ11" s="125"/>
      <c r="BA11" s="125"/>
      <c r="BB11" s="125"/>
      <c r="BC11" s="125"/>
      <c r="BD11" s="125"/>
      <c r="BE11" s="125"/>
      <c r="BF11" s="125"/>
      <c r="BG11" s="125"/>
      <c r="BH11" s="120"/>
    </row>
    <row r="12" spans="2:60" ht="17" customHeight="1" x14ac:dyDescent="0.2">
      <c r="B12" s="101" t="s">
        <v>172</v>
      </c>
      <c r="C12" s="102" t="s">
        <v>7</v>
      </c>
      <c r="D12" s="103">
        <f>-(rHealthyStage1+rHealthyStage2+rHealthyStage3)</f>
        <v>-8.3381608939051138E-2</v>
      </c>
      <c r="E12" s="103">
        <f>rHealthyStage1</f>
        <v>5.2113505586906958E-2</v>
      </c>
      <c r="F12" s="103">
        <f>rHealthyStage2</f>
        <v>2.0845402234762785E-2</v>
      </c>
      <c r="G12" s="103">
        <f>rHealthyStage3</f>
        <v>1.0422701117381392E-2</v>
      </c>
      <c r="H12" s="104">
        <v>0</v>
      </c>
      <c r="I12" s="105">
        <v>0</v>
      </c>
      <c r="J12" s="106"/>
      <c r="K12" s="107" t="s">
        <v>173</v>
      </c>
      <c r="L12" s="108">
        <f>1-M12-N12-O12</f>
        <v>0.91999999999999993</v>
      </c>
      <c r="M12" s="108">
        <f>(rHealthyStage1/(rHealthyStage1+rHealthyStage2+rHealthyStage3))*(1-EXP(-(rHealthyStage1+rHealthyStage2+rHealthyStage3)))</f>
        <v>5.0000000000000044E-2</v>
      </c>
      <c r="N12" s="108">
        <f>(rHealthyStage2/(rHealthyStage1+rHealthyStage2+rHealthyStage3))*(1-EXP(-(rHealthyStage1+rHealthyStage2+rHealthyStage3)))</f>
        <v>2.0000000000000018E-2</v>
      </c>
      <c r="O12" s="108">
        <f>(rHealthyStage3/(rHealthyStage1+rHealthyStage2+rHealthyStage3))*(1-EXP(-(rHealthyStage1+rHealthyStage2+rHealthyStage3)))</f>
        <v>1.0000000000000009E-2</v>
      </c>
      <c r="P12" s="108">
        <v>0</v>
      </c>
      <c r="Q12" s="109">
        <v>0</v>
      </c>
      <c r="R12" s="106"/>
      <c r="S12" s="107" t="s">
        <v>184</v>
      </c>
      <c r="T12" s="110">
        <f>AA12+AH12+(1/FACT(2))*AO12 + (1/FACT(3))*AV12+(1/FACT(4))*BC12</f>
        <v>0.92000003312566181</v>
      </c>
      <c r="U12" s="110">
        <f t="shared" ref="U12:Y12" si="14">AB12+AI12+(1/FACT(2))*AP12 + (1/FACT(3))*AW12+(1/FACT(4))*BD12</f>
        <v>4.1070874070691848E-2</v>
      </c>
      <c r="V12" s="110">
        <f t="shared" si="14"/>
        <v>1.8225453981588331E-2</v>
      </c>
      <c r="W12" s="110">
        <f t="shared" si="14"/>
        <v>8.6322920214033181E-3</v>
      </c>
      <c r="X12" s="110">
        <f t="shared" si="14"/>
        <v>9.1970432288276498E-3</v>
      </c>
      <c r="Y12" s="111">
        <f t="shared" si="14"/>
        <v>2.8743035718271285E-3</v>
      </c>
      <c r="Z12" s="106"/>
      <c r="AA12" s="112">
        <v>1</v>
      </c>
      <c r="AB12" s="112">
        <v>0</v>
      </c>
      <c r="AC12" s="112">
        <v>0</v>
      </c>
      <c r="AD12" s="112">
        <v>0</v>
      </c>
      <c r="AE12" s="112">
        <v>0</v>
      </c>
      <c r="AF12" s="112">
        <v>0</v>
      </c>
      <c r="AG12" s="61"/>
      <c r="AH12" s="126">
        <f>D12</f>
        <v>-8.3381608939051138E-2</v>
      </c>
      <c r="AI12" s="113">
        <f t="shared" ref="AI12:AI17" si="15">E12</f>
        <v>5.2113505586906958E-2</v>
      </c>
      <c r="AJ12" s="124">
        <f t="shared" ref="AJ12:AJ17" si="16">F12</f>
        <v>2.0845402234762785E-2</v>
      </c>
      <c r="AK12" s="124">
        <f t="shared" ref="AK12:AK17" si="17">G12</f>
        <v>1.0422701117381392E-2</v>
      </c>
      <c r="AL12" s="113">
        <f t="shared" ref="AL12:AL17" si="18">H12</f>
        <v>0</v>
      </c>
      <c r="AM12" s="113">
        <f t="shared" ref="AM12:AM17" si="19">I12</f>
        <v>0</v>
      </c>
      <c r="AN12" s="125"/>
      <c r="AO12" s="113" cm="1">
        <f t="array" ref="AO12:AT17">MMULT(AH12:AM17,AH12:AM17)</f>
        <v>6.9524927092648528E-3</v>
      </c>
      <c r="AP12" s="113">
        <v>-2.5463870147915513E-2</v>
      </c>
      <c r="AQ12" s="113">
        <v>-5.2498685002006461E-3</v>
      </c>
      <c r="AR12" s="113">
        <v>-4.1003903822803816E-3</v>
      </c>
      <c r="AS12" s="113">
        <v>2.1359617017132973E-2</v>
      </c>
      <c r="AT12" s="113">
        <v>6.5020193039987129E-3</v>
      </c>
      <c r="AU12" s="125"/>
      <c r="AV12" s="113" cm="1">
        <f t="array" ref="AV12:BA17">MMULT(_xlfn.ANCHORARRAY(AO12),AH12:AM17)</f>
        <v>-5.797100282355261E-4</v>
      </c>
      <c r="AW12" s="113">
        <v>1.1430229423731968E-2</v>
      </c>
      <c r="AX12" s="113">
        <v>-3.7477122958399633E-4</v>
      </c>
      <c r="AY12" s="113">
        <v>1.9089750294630455E-3</v>
      </c>
      <c r="AZ12" s="113">
        <v>-9.8267665659700042E-3</v>
      </c>
      <c r="BA12" s="113">
        <v>-2.5579566294054866E-3</v>
      </c>
      <c r="BB12" s="125"/>
      <c r="BC12" s="113" cm="1">
        <f t="array" ref="BC12:BH17">MMULT(_xlfn.ANCHORARRAY(AV12),AH12:AM17)</f>
        <v>4.8337154872380933E-5</v>
      </c>
      <c r="BD12" s="113">
        <v>-5.1776323091042775E-3</v>
      </c>
      <c r="BE12" s="113">
        <v>1.6187488445568348E-3</v>
      </c>
      <c r="BF12" s="113">
        <v>-1.4010338339613682E-3</v>
      </c>
      <c r="BG12" s="113">
        <v>3.7206995501479459E-3</v>
      </c>
      <c r="BH12" s="114">
        <v>1.1908805934884837E-3</v>
      </c>
    </row>
    <row r="13" spans="2:60" ht="17" customHeight="1" x14ac:dyDescent="0.2">
      <c r="B13" s="101" t="s">
        <v>172</v>
      </c>
      <c r="C13" s="102" t="s">
        <v>8</v>
      </c>
      <c r="D13" s="104">
        <v>0</v>
      </c>
      <c r="E13" s="103">
        <f>-(rStage1Remission+rStage1Stage2)</f>
        <v>-0.43078291609245428</v>
      </c>
      <c r="F13" s="103">
        <f>rStage1Stage2</f>
        <v>0.12308083316927264</v>
      </c>
      <c r="G13" s="104">
        <v>0</v>
      </c>
      <c r="H13" s="103">
        <f>rStage1Remission</f>
        <v>0.30770208292318163</v>
      </c>
      <c r="I13" s="105">
        <v>0</v>
      </c>
      <c r="J13" s="106"/>
      <c r="K13" s="107"/>
      <c r="L13" s="108">
        <v>0</v>
      </c>
      <c r="M13" s="108">
        <f>1-N13-P13</f>
        <v>0.65</v>
      </c>
      <c r="N13" s="108">
        <f>rStage1Stage2/(rStage1Remission+rStage1Stage2)*(1-EXP(-(rStage1Remission+rStage1Stage2)))</f>
        <v>9.9999999999999992E-2</v>
      </c>
      <c r="O13" s="108">
        <v>0</v>
      </c>
      <c r="P13" s="108">
        <f>rStage1Remission/(rStage1Remission+rStage1Stage2)*(1-EXP(-(rStage1Remission+rStage1Stage2)))</f>
        <v>0.25</v>
      </c>
      <c r="Q13" s="109">
        <f>(1-EXP(-I13))</f>
        <v>0</v>
      </c>
      <c r="R13" s="106"/>
      <c r="S13" s="107"/>
      <c r="T13" s="110">
        <f t="shared" ref="T13:T17" si="20">AA13+AH13+(1/FACT(2))*AO13 + (1/FACT(3))*AV13+(1/FACT(4))*BC13</f>
        <v>0</v>
      </c>
      <c r="U13" s="110">
        <f t="shared" ref="U13:U17" si="21">AB13+AI13+(1/FACT(2))*AP13 + (1/FACT(3))*AW13+(1/FACT(4))*BD13</f>
        <v>0.65511109995477346</v>
      </c>
      <c r="V13" s="110">
        <f t="shared" ref="V13:V17" si="22">AC13+AJ13+(1/FACT(2))*AQ13 + (1/FACT(3))*AX13+(1/FACT(4))*BE13</f>
        <v>7.8134385796108999E-2</v>
      </c>
      <c r="W13" s="110">
        <f t="shared" ref="W13:W17" si="23">AD13+AK13+(1/FACT(2))*AR13 + (1/FACT(3))*AY13+(1/FACT(4))*BF13</f>
        <v>7.2204712578098984E-3</v>
      </c>
      <c r="X13" s="110">
        <f t="shared" ref="X13:X17" si="24">AE13+AL13+(1/FACT(2))*AS13 + (1/FACT(3))*AZ13+(1/FACT(4))*BG13</f>
        <v>0.25806895769599708</v>
      </c>
      <c r="Y13" s="111">
        <f t="shared" ref="Y13:Y17" si="25">AF13+AM13+(1/FACT(2))*AT13 + (1/FACT(3))*BA13+(1/FACT(4))*BH13</f>
        <v>1.4650852953105222E-3</v>
      </c>
      <c r="Z13" s="106"/>
      <c r="AA13" s="112">
        <v>0</v>
      </c>
      <c r="AB13" s="112">
        <v>1</v>
      </c>
      <c r="AC13" s="112">
        <v>0</v>
      </c>
      <c r="AD13" s="112">
        <v>0</v>
      </c>
      <c r="AE13" s="112">
        <v>0</v>
      </c>
      <c r="AF13" s="112">
        <v>0</v>
      </c>
      <c r="AG13" s="61"/>
      <c r="AH13" s="126">
        <f t="shared" ref="AH13:AH17" si="26">D13</f>
        <v>0</v>
      </c>
      <c r="AI13" s="113">
        <f t="shared" si="15"/>
        <v>-0.43078291609245428</v>
      </c>
      <c r="AJ13" s="124">
        <f t="shared" si="16"/>
        <v>0.12308083316927264</v>
      </c>
      <c r="AK13" s="124">
        <f t="shared" si="17"/>
        <v>0</v>
      </c>
      <c r="AL13" s="113">
        <f t="shared" si="18"/>
        <v>0.30770208292318163</v>
      </c>
      <c r="AM13" s="113">
        <f t="shared" si="19"/>
        <v>0</v>
      </c>
      <c r="AN13" s="125"/>
      <c r="AO13" s="113">
        <v>0</v>
      </c>
      <c r="AP13" s="113">
        <v>0.19968126727744109</v>
      </c>
      <c r="AQ13" s="113">
        <v>-0.1127698430760016</v>
      </c>
      <c r="AR13" s="113">
        <v>2.3577316266499327E-2</v>
      </c>
      <c r="AS13" s="113">
        <v>-0.11048874046793877</v>
      </c>
      <c r="AT13" s="113">
        <v>0</v>
      </c>
      <c r="AU13" s="125"/>
      <c r="AV13" s="113">
        <v>0</v>
      </c>
      <c r="AW13" s="113">
        <v>-9.5463593932815644E-2</v>
      </c>
      <c r="AX13" s="113">
        <v>8.2695117382078798E-2</v>
      </c>
      <c r="AY13" s="113">
        <v>-3.7944697332028418E-2</v>
      </c>
      <c r="AZ13" s="113">
        <v>3.6004878617000538E-2</v>
      </c>
      <c r="BA13" s="113">
        <v>1.4708295265764729E-2</v>
      </c>
      <c r="BB13" s="125"/>
      <c r="BC13" s="113">
        <v>0</v>
      </c>
      <c r="BD13" s="113">
        <v>4.7135553535436671E-2</v>
      </c>
      <c r="BE13" s="113">
        <v>-5.6257089572223563E-2</v>
      </c>
      <c r="BF13" s="113">
        <v>4.2142304317559311E-2</v>
      </c>
      <c r="BG13" s="113">
        <v>-9.3496343051660321E-3</v>
      </c>
      <c r="BH13" s="114">
        <v>-2.3671133975606377E-2</v>
      </c>
    </row>
    <row r="14" spans="2:60" ht="17" customHeight="1" x14ac:dyDescent="0.2">
      <c r="B14" s="101" t="s">
        <v>172</v>
      </c>
      <c r="C14" s="102" t="s">
        <v>9</v>
      </c>
      <c r="D14" s="104">
        <v>0</v>
      </c>
      <c r="E14" s="103">
        <f>rStage2Stage1</f>
        <v>6.385320297074884E-2</v>
      </c>
      <c r="F14" s="103">
        <f>-(rStage2Remission+rStage2Stage1+rStage2Stage3)</f>
        <v>-0.51082562376599072</v>
      </c>
      <c r="G14" s="103">
        <f>rStage2Stage3</f>
        <v>0.19155960891224652</v>
      </c>
      <c r="H14" s="103">
        <f>rStage2Remission</f>
        <v>0.25541281188299536</v>
      </c>
      <c r="I14" s="105">
        <v>0</v>
      </c>
      <c r="J14" s="106"/>
      <c r="K14" s="107"/>
      <c r="L14" s="108">
        <v>0</v>
      </c>
      <c r="M14" s="108">
        <f>rStage2Stage1/(rStage2Stage1+rStage2Stage3+rStage2Remission)*(1-EXP(-(rStage2Stage1+rStage2Stage3+rStage2Remission)))</f>
        <v>0.05</v>
      </c>
      <c r="N14" s="108">
        <f>1-M14-O14-P14</f>
        <v>0.59999999999999987</v>
      </c>
      <c r="O14" s="108">
        <f>rStage2Stage3/(rStage2Stage1+rStage2Stage3+rStage2Remission)*(1-EXP(-(rStage2Stage1+rStage2Stage3+rStage2Remission)))</f>
        <v>0.15000000000000002</v>
      </c>
      <c r="P14" s="108">
        <f>rStage2Remission/(rStage2Stage1+rStage2Stage3+rStage2Remission)*(1-EXP(-(rStage2Stage1+rStage2Stage3+rStage2Remission)))</f>
        <v>0.2</v>
      </c>
      <c r="Q14" s="109">
        <v>0</v>
      </c>
      <c r="R14" s="106"/>
      <c r="S14" s="107"/>
      <c r="T14" s="110">
        <f t="shared" si="20"/>
        <v>0</v>
      </c>
      <c r="U14" s="110">
        <f t="shared" si="21"/>
        <v>4.1848445956663219E-2</v>
      </c>
      <c r="V14" s="110">
        <f t="shared" si="22"/>
        <v>0.60773399496824454</v>
      </c>
      <c r="W14" s="110">
        <f t="shared" si="23"/>
        <v>0.10443188728337108</v>
      </c>
      <c r="X14" s="110">
        <f t="shared" si="24"/>
        <v>0.20464171508845855</v>
      </c>
      <c r="Y14" s="111">
        <f t="shared" si="25"/>
        <v>4.1343956703262755E-2</v>
      </c>
      <c r="Z14" s="106"/>
      <c r="AA14" s="112">
        <v>0</v>
      </c>
      <c r="AB14" s="112">
        <v>0</v>
      </c>
      <c r="AC14" s="112">
        <v>1</v>
      </c>
      <c r="AD14" s="112">
        <v>0</v>
      </c>
      <c r="AE14" s="112">
        <v>0</v>
      </c>
      <c r="AF14" s="112">
        <v>0</v>
      </c>
      <c r="AG14" s="61"/>
      <c r="AH14" s="126">
        <f t="shared" si="26"/>
        <v>0</v>
      </c>
      <c r="AI14" s="113">
        <f t="shared" si="15"/>
        <v>6.385320297074884E-2</v>
      </c>
      <c r="AJ14" s="124">
        <f t="shared" si="16"/>
        <v>-0.51082562376599072</v>
      </c>
      <c r="AK14" s="124">
        <f t="shared" si="17"/>
        <v>0.19155960891224652</v>
      </c>
      <c r="AL14" s="113">
        <f t="shared" si="18"/>
        <v>0.25541281188299536</v>
      </c>
      <c r="AM14" s="113">
        <f t="shared" si="19"/>
        <v>0</v>
      </c>
      <c r="AN14" s="125"/>
      <c r="AO14" s="113">
        <v>0</v>
      </c>
      <c r="AP14" s="113">
        <v>-5.4938273326973742E-2</v>
      </c>
      <c r="AQ14" s="113">
        <v>0.28467304754454792</v>
      </c>
      <c r="AR14" s="113">
        <v>-0.23063255953765702</v>
      </c>
      <c r="AS14" s="113">
        <v>-0.11860331722393763</v>
      </c>
      <c r="AT14" s="113">
        <v>0.11950110254402049</v>
      </c>
      <c r="AU14" s="125"/>
      <c r="AV14" s="113">
        <v>0</v>
      </c>
      <c r="AW14" s="113">
        <v>3.943538010890929E-2</v>
      </c>
      <c r="AX14" s="113">
        <v>-0.16937055405672566</v>
      </c>
      <c r="AY14" s="113">
        <v>0.21439416604434164</v>
      </c>
      <c r="AZ14" s="113">
        <v>5.9417085453440342E-2</v>
      </c>
      <c r="BA14" s="113">
        <v>-0.14387607754996562</v>
      </c>
      <c r="BB14" s="125"/>
      <c r="BC14" s="113">
        <v>0</v>
      </c>
      <c r="BD14" s="113">
        <v>-2.6596408850007268E-2</v>
      </c>
      <c r="BE14" s="113">
        <v>0.10683649531397113</v>
      </c>
      <c r="BF14" s="113">
        <v>-0.18105126881849304</v>
      </c>
      <c r="BG14" s="113">
        <v>-3.2934858195393373E-2</v>
      </c>
      <c r="BH14" s="114">
        <v>0.13374604054992253</v>
      </c>
    </row>
    <row r="15" spans="2:60" ht="17" customHeight="1" x14ac:dyDescent="0.2">
      <c r="B15" s="101" t="s">
        <v>172</v>
      </c>
      <c r="C15" s="102" t="s">
        <v>10</v>
      </c>
      <c r="D15" s="104">
        <v>0</v>
      </c>
      <c r="E15" s="104">
        <v>0</v>
      </c>
      <c r="F15" s="103">
        <f>rStage3Stage2</f>
        <v>6.9314718055994526E-2</v>
      </c>
      <c r="G15" s="103">
        <f>-(rStage3Death+rStage3Stage2)</f>
        <v>-0.69314718055994529</v>
      </c>
      <c r="H15" s="104">
        <v>0</v>
      </c>
      <c r="I15" s="115">
        <f>rStage3Death</f>
        <v>0.62383246250395075</v>
      </c>
      <c r="J15" s="106"/>
      <c r="K15" s="107"/>
      <c r="L15" s="108">
        <v>0</v>
      </c>
      <c r="M15" s="108">
        <v>0</v>
      </c>
      <c r="N15" s="108">
        <f>rStage3Stage2/(rStage3Death+rStage3Stage2)*(1-EXP(-(rStage3Death+rStage3Stage2)))</f>
        <v>4.9999999999999996E-2</v>
      </c>
      <c r="O15" s="108">
        <f>1-N15-Q15</f>
        <v>0.49999999999999994</v>
      </c>
      <c r="P15" s="108">
        <v>0</v>
      </c>
      <c r="Q15" s="109">
        <f>rStage3Death/(rStage3Death+rStage3Stage2)*(1-EXP(-(rStage3Death+rStage3Stage2)))</f>
        <v>0.45</v>
      </c>
      <c r="R15" s="106"/>
      <c r="S15" s="107"/>
      <c r="T15" s="110">
        <f t="shared" si="20"/>
        <v>0</v>
      </c>
      <c r="U15" s="110">
        <f t="shared" si="21"/>
        <v>1.3794807968019788E-3</v>
      </c>
      <c r="V15" s="110">
        <f t="shared" si="22"/>
        <v>3.7788064322152072E-2</v>
      </c>
      <c r="W15" s="110">
        <f t="shared" si="23"/>
        <v>0.50498070570333797</v>
      </c>
      <c r="X15" s="110">
        <f t="shared" si="24"/>
        <v>6.1999886403858789E-3</v>
      </c>
      <c r="Y15" s="111">
        <f t="shared" si="25"/>
        <v>0.44965176053732209</v>
      </c>
      <c r="Z15" s="106"/>
      <c r="AA15" s="112">
        <v>0</v>
      </c>
      <c r="AB15" s="112">
        <v>0</v>
      </c>
      <c r="AC15" s="112">
        <v>0</v>
      </c>
      <c r="AD15" s="112">
        <v>1</v>
      </c>
      <c r="AE15" s="112">
        <v>0</v>
      </c>
      <c r="AF15" s="112">
        <v>0</v>
      </c>
      <c r="AG15" s="61"/>
      <c r="AH15" s="126">
        <f t="shared" si="26"/>
        <v>0</v>
      </c>
      <c r="AI15" s="113">
        <f t="shared" si="15"/>
        <v>0</v>
      </c>
      <c r="AJ15" s="124">
        <f t="shared" si="16"/>
        <v>6.9314718055994526E-2</v>
      </c>
      <c r="AK15" s="124">
        <f t="shared" si="17"/>
        <v>-0.69314718055994529</v>
      </c>
      <c r="AL15" s="113">
        <f t="shared" si="18"/>
        <v>0</v>
      </c>
      <c r="AM15" s="113">
        <f t="shared" si="19"/>
        <v>0.62383246250395075</v>
      </c>
      <c r="AN15" s="125"/>
      <c r="AO15" s="113">
        <v>0</v>
      </c>
      <c r="AP15" s="113">
        <v>4.4259667608896481E-3</v>
      </c>
      <c r="AQ15" s="113">
        <v>-8.3453035478937315E-2</v>
      </c>
      <c r="AR15" s="113">
        <v>0.49373091420087034</v>
      </c>
      <c r="AS15" s="113">
        <v>1.7703867043558592E-2</v>
      </c>
      <c r="AT15" s="113">
        <v>-0.43240771252638127</v>
      </c>
      <c r="AU15" s="125"/>
      <c r="AV15" s="113">
        <v>0</v>
      </c>
      <c r="AW15" s="113">
        <v>-6.8758773077050419E-3</v>
      </c>
      <c r="AX15" s="113">
        <v>7.7577268280085543E-2</v>
      </c>
      <c r="AY15" s="113">
        <v>-0.35821442197250258</v>
      </c>
      <c r="AZ15" s="113">
        <v>-2.0492341020133687E-2</v>
      </c>
      <c r="BA15" s="113">
        <v>0.3080053720202558</v>
      </c>
      <c r="BB15" s="125"/>
      <c r="BC15" s="113">
        <v>0</v>
      </c>
      <c r="BD15" s="113">
        <v>7.4994472233918773E-3</v>
      </c>
      <c r="BE15" s="113">
        <v>-6.551233698531328E-2</v>
      </c>
      <c r="BF15" s="113">
        <v>0.2631559877983643</v>
      </c>
      <c r="BG15" s="113">
        <v>1.8322686927092727E-2</v>
      </c>
      <c r="BH15" s="114">
        <v>-0.22346578496353561</v>
      </c>
    </row>
    <row r="16" spans="2:60" x14ac:dyDescent="0.2">
      <c r="B16" s="101" t="s">
        <v>172</v>
      </c>
      <c r="C16" s="102" t="s">
        <v>11</v>
      </c>
      <c r="D16" s="104">
        <v>0</v>
      </c>
      <c r="E16" s="103">
        <f>rRemissionStage1*hrRemissionStage1_trtA</f>
        <v>2.0306138323139052E-2</v>
      </c>
      <c r="F16" s="103">
        <f>rRemissionStage2*hrRemissionStage2_trtA</f>
        <v>1.0153069161569526E-2</v>
      </c>
      <c r="G16" s="104">
        <v>0</v>
      </c>
      <c r="H16" s="103">
        <f>-(hrRemissionStage1_trtA*rRemissionStage1+hrRemissionStage2_trtA*rRemissionStage2)</f>
        <v>-3.0459207484708577E-2</v>
      </c>
      <c r="I16" s="105">
        <v>0</v>
      </c>
      <c r="J16" s="106"/>
      <c r="K16" s="107"/>
      <c r="L16" s="108">
        <v>0</v>
      </c>
      <c r="M16" s="108">
        <f>E16/(E16+F16)*(1-EXP(-(E16+F16)))</f>
        <v>2.0000000000000018E-2</v>
      </c>
      <c r="N16" s="108">
        <f>F16/(E16+F16)*(1-EXP(-(E16+F16)))</f>
        <v>1.0000000000000009E-2</v>
      </c>
      <c r="O16" s="108">
        <v>0</v>
      </c>
      <c r="P16" s="108">
        <f>1-M16-N16</f>
        <v>0.97</v>
      </c>
      <c r="Q16" s="109">
        <v>0</v>
      </c>
      <c r="R16" s="106"/>
      <c r="S16" s="107"/>
      <c r="T16" s="110">
        <f t="shared" si="20"/>
        <v>0</v>
      </c>
      <c r="U16" s="110">
        <f t="shared" si="21"/>
        <v>1.6505488372659197E-2</v>
      </c>
      <c r="V16" s="110">
        <f t="shared" si="22"/>
        <v>8.7675800993601612E-3</v>
      </c>
      <c r="W16" s="110">
        <f t="shared" si="23"/>
        <v>7.1314128482898584E-4</v>
      </c>
      <c r="X16" s="110">
        <f t="shared" si="24"/>
        <v>0.97386153438891887</v>
      </c>
      <c r="Y16" s="111">
        <f t="shared" si="25"/>
        <v>1.5225585423277757E-4</v>
      </c>
      <c r="Z16" s="106"/>
      <c r="AA16" s="112">
        <v>0</v>
      </c>
      <c r="AB16" s="112">
        <v>0</v>
      </c>
      <c r="AC16" s="112">
        <v>0</v>
      </c>
      <c r="AD16" s="112">
        <v>0</v>
      </c>
      <c r="AE16" s="112">
        <v>1</v>
      </c>
      <c r="AF16" s="112">
        <v>0</v>
      </c>
      <c r="AG16" s="61"/>
      <c r="AH16" s="126">
        <f t="shared" si="26"/>
        <v>0</v>
      </c>
      <c r="AI16" s="113">
        <f t="shared" si="15"/>
        <v>2.0306138323139052E-2</v>
      </c>
      <c r="AJ16" s="124">
        <f t="shared" si="16"/>
        <v>1.0153069161569526E-2</v>
      </c>
      <c r="AK16" s="124">
        <f t="shared" si="17"/>
        <v>0</v>
      </c>
      <c r="AL16" s="113">
        <f t="shared" si="18"/>
        <v>-3.0459207484708577E-2</v>
      </c>
      <c r="AM16" s="113">
        <f t="shared" si="19"/>
        <v>0</v>
      </c>
      <c r="AN16" s="125"/>
      <c r="AO16" s="113">
        <v>0</v>
      </c>
      <c r="AP16" s="113">
        <v>-8.7177403758665166E-3</v>
      </c>
      <c r="AQ16" s="113">
        <v>-2.9964059045343881E-3</v>
      </c>
      <c r="AR16" s="113">
        <v>1.9449179578492491E-3</v>
      </c>
      <c r="AS16" s="113">
        <v>9.7692283225516534E-3</v>
      </c>
      <c r="AT16" s="113">
        <v>0</v>
      </c>
      <c r="AU16" s="125"/>
      <c r="AV16" s="113">
        <v>0</v>
      </c>
      <c r="AW16" s="113">
        <v>3.7624988080757838E-3</v>
      </c>
      <c r="AX16" s="113">
        <v>6.9165325712920961E-4</v>
      </c>
      <c r="AY16" s="113">
        <v>-1.9221047421185671E-3</v>
      </c>
      <c r="AZ16" s="113">
        <v>-3.7453502820996784E-3</v>
      </c>
      <c r="BA16" s="113">
        <v>1.2133029590132521E-3</v>
      </c>
      <c r="BB16" s="125"/>
      <c r="BC16" s="113">
        <v>0</v>
      </c>
      <c r="BD16" s="113">
        <v>-1.6527095334213425E-3</v>
      </c>
      <c r="BE16" s="113">
        <v>-6.1479667128945482E-5</v>
      </c>
      <c r="BF16" s="113">
        <v>1.4647943101789385E-3</v>
      </c>
      <c r="BG16" s="113">
        <v>1.4484662248376967E-3</v>
      </c>
      <c r="BH16" s="114">
        <v>-1.1990713344663469E-3</v>
      </c>
    </row>
    <row r="17" spans="2:60" x14ac:dyDescent="0.2">
      <c r="B17" s="101" t="s">
        <v>172</v>
      </c>
      <c r="C17" s="102" t="s">
        <v>12</v>
      </c>
      <c r="D17" s="104">
        <v>0</v>
      </c>
      <c r="E17" s="104">
        <v>0</v>
      </c>
      <c r="F17" s="104">
        <v>0</v>
      </c>
      <c r="G17" s="104">
        <v>0</v>
      </c>
      <c r="H17" s="104">
        <v>0</v>
      </c>
      <c r="I17" s="115">
        <v>0</v>
      </c>
      <c r="J17" s="106"/>
      <c r="K17" s="107"/>
      <c r="L17" s="108">
        <v>0</v>
      </c>
      <c r="M17" s="108">
        <v>0</v>
      </c>
      <c r="N17" s="108">
        <v>0</v>
      </c>
      <c r="O17" s="108">
        <v>0</v>
      </c>
      <c r="P17" s="108">
        <v>0</v>
      </c>
      <c r="Q17" s="109">
        <v>1</v>
      </c>
      <c r="R17" s="106"/>
      <c r="S17" s="107"/>
      <c r="T17" s="110">
        <f t="shared" si="20"/>
        <v>0</v>
      </c>
      <c r="U17" s="110">
        <f t="shared" si="21"/>
        <v>0</v>
      </c>
      <c r="V17" s="110">
        <f t="shared" si="22"/>
        <v>0</v>
      </c>
      <c r="W17" s="110">
        <f t="shared" si="23"/>
        <v>0</v>
      </c>
      <c r="X17" s="110">
        <f t="shared" si="24"/>
        <v>0</v>
      </c>
      <c r="Y17" s="111">
        <f t="shared" si="25"/>
        <v>1</v>
      </c>
      <c r="Z17" s="106"/>
      <c r="AA17" s="112">
        <v>0</v>
      </c>
      <c r="AB17" s="112">
        <v>0</v>
      </c>
      <c r="AC17" s="112">
        <v>0</v>
      </c>
      <c r="AD17" s="112">
        <v>0</v>
      </c>
      <c r="AE17" s="112">
        <v>0</v>
      </c>
      <c r="AF17" s="112">
        <v>1</v>
      </c>
      <c r="AG17" s="61"/>
      <c r="AH17" s="126">
        <f t="shared" si="26"/>
        <v>0</v>
      </c>
      <c r="AI17" s="113">
        <f t="shared" si="15"/>
        <v>0</v>
      </c>
      <c r="AJ17" s="124">
        <f t="shared" si="16"/>
        <v>0</v>
      </c>
      <c r="AK17" s="124">
        <f t="shared" si="17"/>
        <v>0</v>
      </c>
      <c r="AL17" s="113">
        <f t="shared" si="18"/>
        <v>0</v>
      </c>
      <c r="AM17" s="113">
        <f t="shared" si="19"/>
        <v>0</v>
      </c>
      <c r="AN17" s="125"/>
      <c r="AO17" s="113">
        <v>0</v>
      </c>
      <c r="AP17" s="113">
        <v>0</v>
      </c>
      <c r="AQ17" s="113">
        <v>0</v>
      </c>
      <c r="AR17" s="113">
        <v>0</v>
      </c>
      <c r="AS17" s="113">
        <v>0</v>
      </c>
      <c r="AT17" s="113">
        <v>0</v>
      </c>
      <c r="AU17" s="125"/>
      <c r="AV17" s="113">
        <v>0</v>
      </c>
      <c r="AW17" s="113">
        <v>0</v>
      </c>
      <c r="AX17" s="113">
        <v>0</v>
      </c>
      <c r="AY17" s="113">
        <v>0</v>
      </c>
      <c r="AZ17" s="113">
        <v>0</v>
      </c>
      <c r="BA17" s="113">
        <v>0</v>
      </c>
      <c r="BB17" s="125"/>
      <c r="BC17" s="113">
        <v>0</v>
      </c>
      <c r="BD17" s="113">
        <v>0</v>
      </c>
      <c r="BE17" s="113">
        <v>0</v>
      </c>
      <c r="BF17" s="113">
        <v>0</v>
      </c>
      <c r="BG17" s="113">
        <v>0</v>
      </c>
      <c r="BH17" s="114">
        <v>0</v>
      </c>
    </row>
    <row r="18" spans="2:60" x14ac:dyDescent="0.2">
      <c r="B18" s="61"/>
      <c r="C18" s="102"/>
      <c r="D18" s="83"/>
      <c r="E18" s="83"/>
      <c r="F18" s="83"/>
      <c r="G18" s="83"/>
      <c r="H18" s="83"/>
      <c r="I18" s="121"/>
      <c r="J18" s="106"/>
      <c r="K18" s="107"/>
      <c r="L18" s="127"/>
      <c r="M18" s="127"/>
      <c r="N18" s="127"/>
      <c r="O18" s="127"/>
      <c r="P18" s="127"/>
      <c r="Q18" s="118"/>
      <c r="R18" s="106"/>
      <c r="S18" s="107"/>
      <c r="T18" s="127"/>
      <c r="U18" s="127"/>
      <c r="V18" s="127"/>
      <c r="W18" s="127"/>
      <c r="X18" s="127"/>
      <c r="Y18" s="118"/>
      <c r="Z18" s="106"/>
      <c r="AA18" s="61"/>
      <c r="AB18" s="61"/>
      <c r="AC18" s="61"/>
      <c r="AD18" s="61"/>
      <c r="AE18" s="61"/>
      <c r="AF18" s="61"/>
      <c r="AG18" s="61"/>
      <c r="AH18" s="119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  <c r="BD18" s="125"/>
      <c r="BE18" s="125"/>
      <c r="BF18" s="125"/>
      <c r="BG18" s="125"/>
      <c r="BH18" s="120"/>
    </row>
    <row r="19" spans="2:60" ht="15" customHeight="1" x14ac:dyDescent="0.2">
      <c r="B19" s="101" t="s">
        <v>174</v>
      </c>
      <c r="C19" s="102" t="s">
        <v>7</v>
      </c>
      <c r="D19" s="103">
        <f>-(rHealthyStage1+rHealthyStage2+rHealthyStage3)</f>
        <v>-8.3381608939051138E-2</v>
      </c>
      <c r="E19" s="103">
        <f>rHealthyStage1</f>
        <v>5.2113505586906958E-2</v>
      </c>
      <c r="F19" s="103">
        <f>rHealthyStage2</f>
        <v>2.0845402234762785E-2</v>
      </c>
      <c r="G19" s="103">
        <f>rHealthyStage3</f>
        <v>1.0422701117381392E-2</v>
      </c>
      <c r="H19" s="104">
        <v>0</v>
      </c>
      <c r="I19" s="105">
        <v>0</v>
      </c>
      <c r="J19" s="106"/>
      <c r="K19" s="107" t="s">
        <v>175</v>
      </c>
      <c r="L19" s="108">
        <f>1-M19-N19-O19</f>
        <v>0.91999999999999993</v>
      </c>
      <c r="M19" s="108">
        <f>(rHealthyStage1/(rHealthyStage1+rHealthyStage2+rHealthyStage3))*(1-EXP(-(rHealthyStage1+rHealthyStage2+rHealthyStage3)))</f>
        <v>5.0000000000000044E-2</v>
      </c>
      <c r="N19" s="108">
        <f>(rHealthyStage2/(rHealthyStage1+rHealthyStage2+rHealthyStage3))*(1-EXP(-(rHealthyStage1+rHealthyStage2+rHealthyStage3)))</f>
        <v>2.0000000000000018E-2</v>
      </c>
      <c r="O19" s="108">
        <f>(rHealthyStage3/(rHealthyStage1+rHealthyStage2+rHealthyStage3))*(1-EXP(-(rHealthyStage1+rHealthyStage2+rHealthyStage3)))</f>
        <v>1.0000000000000009E-2</v>
      </c>
      <c r="P19" s="108">
        <v>0</v>
      </c>
      <c r="Q19" s="109">
        <v>0</v>
      </c>
      <c r="R19" s="106"/>
      <c r="S19" s="107" t="s">
        <v>185</v>
      </c>
      <c r="T19" s="110">
        <f>AA19+AH19+(1/FACT(2))*AO19 + (1/FACT(3))*AV19+(1/FACT(4))*BC19</f>
        <v>0.92000003312566181</v>
      </c>
      <c r="U19" s="110">
        <f t="shared" ref="U19:U24" si="27">AB19+AI19+(1/FACT(2))*AP19 + (1/FACT(3))*AW19+(1/FACT(4))*BD19</f>
        <v>4.1243938406862884E-2</v>
      </c>
      <c r="V19" s="110">
        <f t="shared" ref="V19:V24" si="28">AC19+AJ19+(1/FACT(2))*AQ19 + (1/FACT(3))*AX19+(1/FACT(4))*BE19</f>
        <v>1.8288387162071464E-2</v>
      </c>
      <c r="W19" s="110">
        <f t="shared" ref="W19:W24" si="29">AD19+AK19+(1/FACT(2))*AR19 + (1/FACT(3))*AY19+(1/FACT(4))*BF19</f>
        <v>8.6359794210279055E-3</v>
      </c>
      <c r="X19" s="110">
        <f t="shared" ref="X19:X24" si="30">AE19+AL19+(1/FACT(2))*AS19 + (1/FACT(3))*AZ19+(1/FACT(4))*BG19</f>
        <v>8.9573583125488986E-3</v>
      </c>
      <c r="Y19" s="111">
        <f t="shared" ref="Y19:Y24" si="31">AF19+AM19+(1/FACT(2))*AT19 + (1/FACT(3))*BA19+(1/FACT(4))*BH19</f>
        <v>2.8743035718271285E-3</v>
      </c>
      <c r="Z19" s="106"/>
      <c r="AA19" s="112">
        <v>1</v>
      </c>
      <c r="AB19" s="112">
        <v>0</v>
      </c>
      <c r="AC19" s="112">
        <v>0</v>
      </c>
      <c r="AD19" s="112">
        <v>0</v>
      </c>
      <c r="AE19" s="112">
        <v>0</v>
      </c>
      <c r="AF19" s="112">
        <v>0</v>
      </c>
      <c r="AG19" s="61"/>
      <c r="AH19" s="126">
        <f>D19</f>
        <v>-8.3381608939051138E-2</v>
      </c>
      <c r="AI19" s="113">
        <f t="shared" ref="AI19:AI24" si="32">E19</f>
        <v>5.2113505586906958E-2</v>
      </c>
      <c r="AJ19" s="124">
        <f t="shared" ref="AJ19:AJ24" si="33">F19</f>
        <v>2.0845402234762785E-2</v>
      </c>
      <c r="AK19" s="124">
        <f t="shared" ref="AK19:AK24" si="34">G19</f>
        <v>1.0422701117381392E-2</v>
      </c>
      <c r="AL19" s="113">
        <f t="shared" ref="AL19:AL24" si="35">H19</f>
        <v>0</v>
      </c>
      <c r="AM19" s="113">
        <f t="shared" ref="AM19:AM24" si="36">I19</f>
        <v>0</v>
      </c>
      <c r="AN19" s="125"/>
      <c r="AO19" s="113" cm="1">
        <f t="array" ref="AO19:AT24">MMULT(AH19:AM24,AH19:AM24)</f>
        <v>6.9524927092648528E-3</v>
      </c>
      <c r="AP19" s="113">
        <v>-2.5463870147915513E-2</v>
      </c>
      <c r="AQ19" s="113">
        <v>-5.2498685002006461E-3</v>
      </c>
      <c r="AR19" s="113">
        <v>-4.1003903822803816E-3</v>
      </c>
      <c r="AS19" s="113">
        <v>2.1359617017132973E-2</v>
      </c>
      <c r="AT19" s="113">
        <v>6.5020193039987129E-3</v>
      </c>
      <c r="AU19" s="125"/>
      <c r="AV19" s="113" cm="1">
        <f t="array" ref="AV19:BA24">MMULT(_xlfn.ANCHORARRAY(AO19),AH19:AM24)</f>
        <v>-5.797100282355261E-4</v>
      </c>
      <c r="AW19" s="113">
        <v>1.2806765493159749E-2</v>
      </c>
      <c r="AX19" s="113">
        <v>8.7213379241524842E-5</v>
      </c>
      <c r="AY19" s="113">
        <v>1.9089750294630455E-3</v>
      </c>
      <c r="AZ19" s="113">
        <v>-1.1665287244223308E-2</v>
      </c>
      <c r="BA19" s="113">
        <v>-2.5579566294054866E-3</v>
      </c>
      <c r="BB19" s="125"/>
      <c r="BC19" s="113" cm="1">
        <f t="array" ref="BC19:BH24">MMULT(_xlfn.ANCHORARRAY(AV19),AH19:AM24)</f>
        <v>4.8337154872380933E-5</v>
      </c>
      <c r="BD19" s="113">
        <v>-6.5302325187106772E-3</v>
      </c>
      <c r="BE19" s="113">
        <v>1.2812067408499938E-3</v>
      </c>
      <c r="BF19" s="113">
        <v>-1.3125362429712742E-3</v>
      </c>
      <c r="BG19" s="113">
        <v>5.3223442724710922E-3</v>
      </c>
      <c r="BH19" s="114">
        <v>1.1908805934884837E-3</v>
      </c>
    </row>
    <row r="20" spans="2:60" x14ac:dyDescent="0.2">
      <c r="B20" s="101" t="s">
        <v>174</v>
      </c>
      <c r="C20" s="102" t="s">
        <v>8</v>
      </c>
      <c r="D20" s="104">
        <v>0</v>
      </c>
      <c r="E20" s="103">
        <f>-(rStage1Remission+rStage1Stage2)</f>
        <v>-0.43078291609245428</v>
      </c>
      <c r="F20" s="103">
        <f>rStage1Stage2</f>
        <v>0.12308083316927264</v>
      </c>
      <c r="G20" s="104">
        <v>0</v>
      </c>
      <c r="H20" s="103">
        <f>rStage1Remission</f>
        <v>0.30770208292318163</v>
      </c>
      <c r="I20" s="105">
        <v>0</v>
      </c>
      <c r="J20" s="106"/>
      <c r="K20" s="107"/>
      <c r="L20" s="108">
        <v>0</v>
      </c>
      <c r="M20" s="108">
        <f>1-N20-P20</f>
        <v>0.65</v>
      </c>
      <c r="N20" s="108">
        <f>rStage1Stage2/(rStage1Remission+rStage1Stage2)*(1-EXP(-(rStage1Remission+rStage1Stage2)))</f>
        <v>9.9999999999999992E-2</v>
      </c>
      <c r="O20" s="108">
        <v>0</v>
      </c>
      <c r="P20" s="108">
        <f>rStage1Remission/(rStage1Remission+rStage1Stage2)*(1-EXP(-(rStage1Remission+rStage1Stage2)))</f>
        <v>0.25</v>
      </c>
      <c r="Q20" s="109">
        <f>(1-EXP(-I20))</f>
        <v>0</v>
      </c>
      <c r="R20" s="106"/>
      <c r="S20" s="107"/>
      <c r="T20" s="110">
        <f t="shared" ref="T20:T24" si="37">AA20+AH20+(1/FACT(2))*AO20 + (1/FACT(3))*AV20+(1/FACT(4))*BC20</f>
        <v>0</v>
      </c>
      <c r="U20" s="110">
        <f t="shared" si="27"/>
        <v>0.66258372512950392</v>
      </c>
      <c r="V20" s="110">
        <f t="shared" si="28"/>
        <v>8.0826275485611124E-2</v>
      </c>
      <c r="W20" s="110">
        <f t="shared" si="29"/>
        <v>7.36268403026863E-3</v>
      </c>
      <c r="X20" s="110">
        <f t="shared" si="30"/>
        <v>0.24772909214638986</v>
      </c>
      <c r="Y20" s="111">
        <f t="shared" si="31"/>
        <v>1.4982232082263714E-3</v>
      </c>
      <c r="Z20" s="106"/>
      <c r="AA20" s="112">
        <v>0</v>
      </c>
      <c r="AB20" s="112">
        <v>1</v>
      </c>
      <c r="AC20" s="112">
        <v>0</v>
      </c>
      <c r="AD20" s="112">
        <v>0</v>
      </c>
      <c r="AE20" s="112">
        <v>0</v>
      </c>
      <c r="AF20" s="112">
        <v>0</v>
      </c>
      <c r="AG20" s="61"/>
      <c r="AH20" s="126">
        <f t="shared" ref="AH20:AH24" si="38">D20</f>
        <v>0</v>
      </c>
      <c r="AI20" s="113">
        <f t="shared" si="32"/>
        <v>-0.43078291609245428</v>
      </c>
      <c r="AJ20" s="124">
        <f t="shared" si="33"/>
        <v>0.12308083316927264</v>
      </c>
      <c r="AK20" s="124">
        <f t="shared" si="34"/>
        <v>0</v>
      </c>
      <c r="AL20" s="113">
        <f t="shared" si="35"/>
        <v>0.30770208292318163</v>
      </c>
      <c r="AM20" s="113">
        <f t="shared" si="36"/>
        <v>0</v>
      </c>
      <c r="AN20" s="125"/>
      <c r="AO20" s="113">
        <v>0</v>
      </c>
      <c r="AP20" s="113">
        <v>0.21951135203233485</v>
      </c>
      <c r="AQ20" s="113">
        <v>-0.10611459142518596</v>
      </c>
      <c r="AR20" s="113">
        <v>2.3577316266499327E-2</v>
      </c>
      <c r="AS20" s="113">
        <v>-0.13697407687364818</v>
      </c>
      <c r="AT20" s="113">
        <v>0</v>
      </c>
      <c r="AU20" s="125"/>
      <c r="AV20" s="113">
        <v>0</v>
      </c>
      <c r="AW20" s="113">
        <v>-0.11294630554738773</v>
      </c>
      <c r="AX20" s="113">
        <v>7.8504644236075019E-2</v>
      </c>
      <c r="AY20" s="113">
        <v>-3.6669819928585597E-2</v>
      </c>
      <c r="AZ20" s="113">
        <v>5.6403185974133574E-2</v>
      </c>
      <c r="BA20" s="113">
        <v>1.4708295265764729E-2</v>
      </c>
      <c r="BB20" s="125"/>
      <c r="BC20" s="113">
        <v>0</v>
      </c>
      <c r="BD20" s="113">
        <v>5.8448387128532786E-2</v>
      </c>
      <c r="BE20" s="113">
        <v>-5.4752864249945216E-2</v>
      </c>
      <c r="BF20" s="113">
        <v>4.0455901242797576E-2</v>
      </c>
      <c r="BG20" s="113">
        <v>-2.1275600055759149E-2</v>
      </c>
      <c r="BH20" s="114">
        <v>-2.2875824065626001E-2</v>
      </c>
    </row>
    <row r="21" spans="2:60" x14ac:dyDescent="0.2">
      <c r="B21" s="101" t="s">
        <v>174</v>
      </c>
      <c r="C21" s="102" t="s">
        <v>9</v>
      </c>
      <c r="D21" s="104">
        <v>0</v>
      </c>
      <c r="E21" s="103">
        <f>rStage2Stage1</f>
        <v>6.385320297074884E-2</v>
      </c>
      <c r="F21" s="103">
        <f>-(rStage2Remission+rStage2Stage1+rStage2Stage3)</f>
        <v>-0.51082562376599072</v>
      </c>
      <c r="G21" s="103">
        <f>rStage2Stage3</f>
        <v>0.19155960891224652</v>
      </c>
      <c r="H21" s="103">
        <f>rStage2Remission</f>
        <v>0.25541281188299536</v>
      </c>
      <c r="I21" s="105">
        <v>0</v>
      </c>
      <c r="J21" s="106"/>
      <c r="K21" s="107"/>
      <c r="L21" s="108">
        <v>0</v>
      </c>
      <c r="M21" s="108">
        <f>rStage2Stage1/(rStage2Stage1+rStage2Stage3+rStage2Remission)*(1-EXP(-(rStage2Stage1+rStage2Stage3+rStage2Remission)))</f>
        <v>0.05</v>
      </c>
      <c r="N21" s="108">
        <f>1-M21-O21-P21</f>
        <v>0.59999999999999987</v>
      </c>
      <c r="O21" s="108">
        <f>rStage2Stage3/(rStage2Stage1+rStage2Stage3+rStage2Remission)*(1-EXP(-(rStage2Stage1+rStage2Stage3+rStage2Remission)))</f>
        <v>0.15000000000000002</v>
      </c>
      <c r="P21" s="108">
        <f>rStage2Remission/(rStage2Stage1+rStage2Stage3+rStage2Remission)*(1-EXP(-(rStage2Stage1+rStage2Stage3+rStage2Remission)))</f>
        <v>0.2</v>
      </c>
      <c r="Q21" s="109">
        <v>0</v>
      </c>
      <c r="R21" s="106"/>
      <c r="S21" s="107"/>
      <c r="T21" s="110">
        <f t="shared" si="37"/>
        <v>0</v>
      </c>
      <c r="U21" s="110">
        <f t="shared" si="27"/>
        <v>4.7879412213737732E-2</v>
      </c>
      <c r="V21" s="110">
        <f t="shared" si="28"/>
        <v>0.60990467417815319</v>
      </c>
      <c r="W21" s="110">
        <f t="shared" si="29"/>
        <v>0.10454529095586357</v>
      </c>
      <c r="X21" s="110">
        <f t="shared" si="30"/>
        <v>0.19629915931842187</v>
      </c>
      <c r="Y21" s="111">
        <f t="shared" si="31"/>
        <v>4.1371463333823598E-2</v>
      </c>
      <c r="Z21" s="106"/>
      <c r="AA21" s="112">
        <v>0</v>
      </c>
      <c r="AB21" s="112">
        <v>0</v>
      </c>
      <c r="AC21" s="112">
        <v>1</v>
      </c>
      <c r="AD21" s="112">
        <v>0</v>
      </c>
      <c r="AE21" s="112">
        <v>0</v>
      </c>
      <c r="AF21" s="112">
        <v>0</v>
      </c>
      <c r="AG21" s="61"/>
      <c r="AH21" s="126">
        <f t="shared" si="38"/>
        <v>0</v>
      </c>
      <c r="AI21" s="113">
        <f t="shared" si="32"/>
        <v>6.385320297074884E-2</v>
      </c>
      <c r="AJ21" s="124">
        <f t="shared" si="33"/>
        <v>-0.51082562376599072</v>
      </c>
      <c r="AK21" s="124">
        <f t="shared" si="34"/>
        <v>0.19155960891224652</v>
      </c>
      <c r="AL21" s="113">
        <f t="shared" si="35"/>
        <v>0.25541281188299536</v>
      </c>
      <c r="AM21" s="113">
        <f t="shared" si="36"/>
        <v>0</v>
      </c>
      <c r="AN21" s="125"/>
      <c r="AO21" s="113">
        <v>0</v>
      </c>
      <c r="AP21" s="113">
        <v>-3.8478008713198009E-2</v>
      </c>
      <c r="AQ21" s="113">
        <v>0.29019734078876408</v>
      </c>
      <c r="AR21" s="113">
        <v>-0.23063255953765702</v>
      </c>
      <c r="AS21" s="113">
        <v>-0.14058787508192952</v>
      </c>
      <c r="AT21" s="113">
        <v>0.11950110254402049</v>
      </c>
      <c r="AU21" s="125"/>
      <c r="AV21" s="113">
        <v>0</v>
      </c>
      <c r="AW21" s="113">
        <v>2.3190613699959013E-2</v>
      </c>
      <c r="AX21" s="113">
        <v>-0.17343053063436464</v>
      </c>
      <c r="AY21" s="113">
        <v>0.21545239749772027</v>
      </c>
      <c r="AZ21" s="113">
        <v>7.8663596986650972E-2</v>
      </c>
      <c r="BA21" s="113">
        <v>-0.14387607754996562</v>
      </c>
      <c r="BB21" s="125"/>
      <c r="BC21" s="113">
        <v>0</v>
      </c>
      <c r="BD21" s="113">
        <v>-1.4397328409726649E-2</v>
      </c>
      <c r="BE21" s="113">
        <v>0.10888118373174485</v>
      </c>
      <c r="BF21" s="113">
        <v>-0.18256250649218769</v>
      </c>
      <c r="BG21" s="113">
        <v>-4.6327548513213385E-2</v>
      </c>
      <c r="BH21" s="114">
        <v>0.13440619968338288</v>
      </c>
    </row>
    <row r="22" spans="2:60" x14ac:dyDescent="0.2">
      <c r="B22" s="101" t="s">
        <v>174</v>
      </c>
      <c r="C22" s="102" t="s">
        <v>10</v>
      </c>
      <c r="D22" s="104">
        <v>0</v>
      </c>
      <c r="E22" s="104">
        <v>0</v>
      </c>
      <c r="F22" s="103">
        <f>rStage3Stage2</f>
        <v>6.9314718055994526E-2</v>
      </c>
      <c r="G22" s="103">
        <f>-(rStage3Death+rStage3Stage2)</f>
        <v>-0.69314718055994529</v>
      </c>
      <c r="H22" s="104">
        <v>0</v>
      </c>
      <c r="I22" s="115">
        <f>rStage3Death</f>
        <v>0.62383246250395075</v>
      </c>
      <c r="J22" s="106"/>
      <c r="K22" s="107"/>
      <c r="L22" s="108">
        <v>0</v>
      </c>
      <c r="M22" s="108">
        <v>0</v>
      </c>
      <c r="N22" s="108">
        <f>rStage3Stage2/(rStage3Death+rStage3Stage2)*(1-EXP(-(rStage3Death+rStage3Stage2)))</f>
        <v>4.9999999999999996E-2</v>
      </c>
      <c r="O22" s="108">
        <f>1-N22-Q22</f>
        <v>0.49999999999999994</v>
      </c>
      <c r="P22" s="108">
        <v>0</v>
      </c>
      <c r="Q22" s="109">
        <f>rStage3Death/(rStage3Death+rStage3Stage2)*(1-EXP(-(rStage3Death+rStage3Stage2)))</f>
        <v>0.45</v>
      </c>
      <c r="R22" s="106"/>
      <c r="S22" s="107"/>
      <c r="T22" s="110">
        <f t="shared" si="37"/>
        <v>0</v>
      </c>
      <c r="U22" s="110">
        <f t="shared" si="27"/>
        <v>1.4897689061954733E-3</v>
      </c>
      <c r="V22" s="110">
        <f t="shared" si="28"/>
        <v>3.7829098774195317E-2</v>
      </c>
      <c r="W22" s="110">
        <f t="shared" si="29"/>
        <v>0.50498376199562245</v>
      </c>
      <c r="X22" s="110">
        <f t="shared" si="30"/>
        <v>6.0456097866646054E-3</v>
      </c>
      <c r="Y22" s="111">
        <f t="shared" si="31"/>
        <v>0.44965176053732209</v>
      </c>
      <c r="Z22" s="106"/>
      <c r="AA22" s="112">
        <v>0</v>
      </c>
      <c r="AB22" s="112">
        <v>0</v>
      </c>
      <c r="AC22" s="112">
        <v>0</v>
      </c>
      <c r="AD22" s="112">
        <v>1</v>
      </c>
      <c r="AE22" s="112">
        <v>0</v>
      </c>
      <c r="AF22" s="112">
        <v>0</v>
      </c>
      <c r="AG22" s="61"/>
      <c r="AH22" s="126">
        <f t="shared" si="38"/>
        <v>0</v>
      </c>
      <c r="AI22" s="113">
        <f t="shared" si="32"/>
        <v>0</v>
      </c>
      <c r="AJ22" s="124">
        <f t="shared" si="33"/>
        <v>6.9314718055994526E-2</v>
      </c>
      <c r="AK22" s="124">
        <f t="shared" si="34"/>
        <v>-0.69314718055994529</v>
      </c>
      <c r="AL22" s="113">
        <f t="shared" si="35"/>
        <v>0</v>
      </c>
      <c r="AM22" s="113">
        <f t="shared" si="36"/>
        <v>0.62383246250395075</v>
      </c>
      <c r="AN22" s="125"/>
      <c r="AO22" s="113">
        <v>0</v>
      </c>
      <c r="AP22" s="113">
        <v>4.4259667608896481E-3</v>
      </c>
      <c r="AQ22" s="113">
        <v>-8.3453035478937315E-2</v>
      </c>
      <c r="AR22" s="113">
        <v>0.49373091420087034</v>
      </c>
      <c r="AS22" s="113">
        <v>1.7703867043558592E-2</v>
      </c>
      <c r="AT22" s="113">
        <v>-0.43240771252638127</v>
      </c>
      <c r="AU22" s="125"/>
      <c r="AV22" s="113">
        <v>0</v>
      </c>
      <c r="AW22" s="113">
        <v>-5.7349387068741133E-3</v>
      </c>
      <c r="AX22" s="113">
        <v>7.7960183108767026E-2</v>
      </c>
      <c r="AY22" s="113">
        <v>-0.35821442197250258</v>
      </c>
      <c r="AZ22" s="113">
        <v>-2.2016194449646094E-2</v>
      </c>
      <c r="BA22" s="113">
        <v>0.3080053720202558</v>
      </c>
      <c r="BB22" s="125"/>
      <c r="BC22" s="113">
        <v>0</v>
      </c>
      <c r="BD22" s="113">
        <v>5.5826074455120334E-3</v>
      </c>
      <c r="BE22" s="113">
        <v>-6.6059169451001432E-2</v>
      </c>
      <c r="BF22" s="113">
        <v>0.26322933881319321</v>
      </c>
      <c r="BG22" s="113">
        <v>2.0713008155831797E-2</v>
      </c>
      <c r="BH22" s="114">
        <v>-0.22346578496353561</v>
      </c>
    </row>
    <row r="23" spans="2:60" x14ac:dyDescent="0.2">
      <c r="B23" s="101" t="s">
        <v>174</v>
      </c>
      <c r="C23" s="102" t="s">
        <v>11</v>
      </c>
      <c r="D23" s="104">
        <v>0</v>
      </c>
      <c r="E23" s="103">
        <f>rRemissionStage1*hrRemissionStage1_trtB</f>
        <v>8.4751866367964723E-2</v>
      </c>
      <c r="F23" s="103">
        <f>rRemissionStage2*hrRemissionStage2_trtB</f>
        <v>3.1781949887986771E-2</v>
      </c>
      <c r="G23" s="104">
        <v>0</v>
      </c>
      <c r="H23" s="103">
        <f>-(hrRemissionStage1_trtB*rRemissionStage1+hrRemissionStage2_trtB*rRemissionStage2)</f>
        <v>-0.11653381625595149</v>
      </c>
      <c r="I23" s="105">
        <v>0</v>
      </c>
      <c r="J23" s="106"/>
      <c r="K23" s="107"/>
      <c r="L23" s="108">
        <v>0</v>
      </c>
      <c r="M23" s="108">
        <f>E23/(E23+F23)*(1-EXP(-(E23+F23)))</f>
        <v>7.9999999999999988E-2</v>
      </c>
      <c r="N23" s="108">
        <f>F23/(E23+F23)*(1-EXP(-(E23+F23)))</f>
        <v>2.9999999999999995E-2</v>
      </c>
      <c r="O23" s="108">
        <v>0</v>
      </c>
      <c r="P23" s="108">
        <f>1-M23-N23</f>
        <v>0.89</v>
      </c>
      <c r="Q23" s="109">
        <v>0</v>
      </c>
      <c r="R23" s="106"/>
      <c r="S23" s="107"/>
      <c r="T23" s="110">
        <f t="shared" si="37"/>
        <v>0</v>
      </c>
      <c r="U23" s="110">
        <f t="shared" si="27"/>
        <v>6.5854222849500058E-2</v>
      </c>
      <c r="V23" s="110">
        <f t="shared" si="28"/>
        <v>2.7292254316024039E-2</v>
      </c>
      <c r="W23" s="110">
        <f t="shared" si="29"/>
        <v>2.2223542345931957E-3</v>
      </c>
      <c r="X23" s="110">
        <f t="shared" si="30"/>
        <v>0.90415520141146533</v>
      </c>
      <c r="Y23" s="111">
        <f t="shared" si="31"/>
        <v>4.7596718841737924E-4</v>
      </c>
      <c r="Z23" s="106"/>
      <c r="AA23" s="112">
        <v>0</v>
      </c>
      <c r="AB23" s="112">
        <v>0</v>
      </c>
      <c r="AC23" s="112">
        <v>0</v>
      </c>
      <c r="AD23" s="112">
        <v>0</v>
      </c>
      <c r="AE23" s="112">
        <v>1</v>
      </c>
      <c r="AF23" s="112">
        <v>0</v>
      </c>
      <c r="AG23" s="61"/>
      <c r="AH23" s="126">
        <f t="shared" si="38"/>
        <v>0</v>
      </c>
      <c r="AI23" s="113">
        <f t="shared" si="32"/>
        <v>8.4751866367964723E-2</v>
      </c>
      <c r="AJ23" s="124">
        <f t="shared" si="33"/>
        <v>3.1781949887986771E-2</v>
      </c>
      <c r="AK23" s="124">
        <f t="shared" si="34"/>
        <v>0</v>
      </c>
      <c r="AL23" s="113">
        <f t="shared" si="35"/>
        <v>-0.11653381625595149</v>
      </c>
      <c r="AM23" s="113">
        <f t="shared" si="36"/>
        <v>0</v>
      </c>
      <c r="AN23" s="125"/>
      <c r="AO23" s="113">
        <v>0</v>
      </c>
      <c r="AP23" s="113">
        <v>-4.435673526393942E-2</v>
      </c>
      <c r="AQ23" s="113">
        <v>-9.5073759593128568E-3</v>
      </c>
      <c r="AR23" s="113">
        <v>6.0881378910113632E-3</v>
      </c>
      <c r="AS23" s="113">
        <v>4.7775973332240908E-2</v>
      </c>
      <c r="AT23" s="113">
        <v>0</v>
      </c>
      <c r="AU23" s="125"/>
      <c r="AV23" s="113">
        <v>0</v>
      </c>
      <c r="AW23" s="113">
        <v>2.2550150265945128E-2</v>
      </c>
      <c r="AX23" s="113">
        <v>1.3375584735357971E-3</v>
      </c>
      <c r="AY23" s="113">
        <v>-6.0412048345623633E-3</v>
      </c>
      <c r="AZ23" s="113">
        <v>-2.164448195753179E-2</v>
      </c>
      <c r="BA23" s="113">
        <v>3.797978052613228E-3</v>
      </c>
      <c r="BB23" s="125"/>
      <c r="BC23" s="113">
        <v>0</v>
      </c>
      <c r="BD23" s="113">
        <v>-1.1463222339659506E-2</v>
      </c>
      <c r="BE23" s="113">
        <v>9.855838905055011E-4</v>
      </c>
      <c r="BF23" s="113">
        <v>4.4436662763497909E-3</v>
      </c>
      <c r="BG23" s="113">
        <v>9.8026718612400261E-3</v>
      </c>
      <c r="BH23" s="114">
        <v>-3.7686996884358113E-3</v>
      </c>
    </row>
    <row r="24" spans="2:60" x14ac:dyDescent="0.2">
      <c r="B24" s="101" t="s">
        <v>174</v>
      </c>
      <c r="C24" s="102" t="s">
        <v>12</v>
      </c>
      <c r="D24" s="104">
        <v>0</v>
      </c>
      <c r="E24" s="104">
        <v>0</v>
      </c>
      <c r="F24" s="104">
        <v>0</v>
      </c>
      <c r="G24" s="104">
        <v>0</v>
      </c>
      <c r="H24" s="104">
        <v>0</v>
      </c>
      <c r="I24" s="115">
        <v>0</v>
      </c>
      <c r="J24" s="106"/>
      <c r="K24" s="107"/>
      <c r="L24" s="108">
        <v>0</v>
      </c>
      <c r="M24" s="108">
        <v>0</v>
      </c>
      <c r="N24" s="108">
        <v>0</v>
      </c>
      <c r="O24" s="108">
        <v>0</v>
      </c>
      <c r="P24" s="108">
        <v>0</v>
      </c>
      <c r="Q24" s="109">
        <v>1</v>
      </c>
      <c r="R24" s="106"/>
      <c r="S24" s="107"/>
      <c r="T24" s="110">
        <f t="shared" si="37"/>
        <v>0</v>
      </c>
      <c r="U24" s="110">
        <f t="shared" si="27"/>
        <v>0</v>
      </c>
      <c r="V24" s="110">
        <f t="shared" si="28"/>
        <v>0</v>
      </c>
      <c r="W24" s="110">
        <f t="shared" si="29"/>
        <v>0</v>
      </c>
      <c r="X24" s="110">
        <f t="shared" si="30"/>
        <v>0</v>
      </c>
      <c r="Y24" s="111">
        <f t="shared" si="31"/>
        <v>1</v>
      </c>
      <c r="Z24" s="106"/>
      <c r="AA24" s="112">
        <v>0</v>
      </c>
      <c r="AB24" s="112">
        <v>0</v>
      </c>
      <c r="AC24" s="112">
        <v>0</v>
      </c>
      <c r="AD24" s="112">
        <v>0</v>
      </c>
      <c r="AE24" s="112">
        <v>0</v>
      </c>
      <c r="AF24" s="112">
        <v>1</v>
      </c>
      <c r="AG24" s="61"/>
      <c r="AH24" s="126">
        <f t="shared" si="38"/>
        <v>0</v>
      </c>
      <c r="AI24" s="113">
        <f t="shared" si="32"/>
        <v>0</v>
      </c>
      <c r="AJ24" s="124">
        <f t="shared" si="33"/>
        <v>0</v>
      </c>
      <c r="AK24" s="124">
        <f t="shared" si="34"/>
        <v>0</v>
      </c>
      <c r="AL24" s="113">
        <f t="shared" si="35"/>
        <v>0</v>
      </c>
      <c r="AM24" s="113">
        <f t="shared" si="36"/>
        <v>0</v>
      </c>
      <c r="AN24" s="125"/>
      <c r="AO24" s="113">
        <v>0</v>
      </c>
      <c r="AP24" s="113">
        <v>0</v>
      </c>
      <c r="AQ24" s="113">
        <v>0</v>
      </c>
      <c r="AR24" s="113">
        <v>0</v>
      </c>
      <c r="AS24" s="113">
        <v>0</v>
      </c>
      <c r="AT24" s="113">
        <v>0</v>
      </c>
      <c r="AU24" s="125"/>
      <c r="AV24" s="113">
        <v>0</v>
      </c>
      <c r="AW24" s="113">
        <v>0</v>
      </c>
      <c r="AX24" s="113">
        <v>0</v>
      </c>
      <c r="AY24" s="113">
        <v>0</v>
      </c>
      <c r="AZ24" s="113">
        <v>0</v>
      </c>
      <c r="BA24" s="113">
        <v>0</v>
      </c>
      <c r="BB24" s="125"/>
      <c r="BC24" s="113">
        <v>0</v>
      </c>
      <c r="BD24" s="113">
        <v>0</v>
      </c>
      <c r="BE24" s="113">
        <v>0</v>
      </c>
      <c r="BF24" s="113">
        <v>0</v>
      </c>
      <c r="BG24" s="113">
        <v>0</v>
      </c>
      <c r="BH24" s="114">
        <v>0</v>
      </c>
    </row>
    <row r="25" spans="2:60" x14ac:dyDescent="0.2">
      <c r="B25" s="61"/>
      <c r="C25" s="122"/>
      <c r="D25" s="83"/>
      <c r="E25" s="83"/>
      <c r="F25" s="83"/>
      <c r="G25" s="83"/>
      <c r="H25" s="83"/>
      <c r="I25" s="121"/>
      <c r="J25" s="106"/>
      <c r="K25" s="107"/>
      <c r="L25" s="127"/>
      <c r="M25" s="127"/>
      <c r="N25" s="127"/>
      <c r="O25" s="127"/>
      <c r="P25" s="127"/>
      <c r="Q25" s="118"/>
      <c r="R25" s="106"/>
      <c r="S25" s="107"/>
      <c r="T25" s="127"/>
      <c r="U25" s="127"/>
      <c r="V25" s="127"/>
      <c r="W25" s="127"/>
      <c r="X25" s="127"/>
      <c r="Y25" s="118"/>
      <c r="Z25" s="106"/>
      <c r="AA25" s="61"/>
      <c r="AB25" s="61"/>
      <c r="AC25" s="61"/>
      <c r="AD25" s="61"/>
      <c r="AE25" s="61"/>
      <c r="AF25" s="61"/>
      <c r="AG25" s="61"/>
      <c r="AH25" s="119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25"/>
      <c r="AW25" s="125"/>
      <c r="AX25" s="125"/>
      <c r="AY25" s="125"/>
      <c r="AZ25" s="125"/>
      <c r="BA25" s="125"/>
      <c r="BB25" s="125"/>
      <c r="BC25" s="125"/>
      <c r="BD25" s="125"/>
      <c r="BE25" s="125"/>
      <c r="BF25" s="125"/>
      <c r="BG25" s="125"/>
      <c r="BH25" s="120"/>
    </row>
    <row r="26" spans="2:60" ht="16" customHeight="1" x14ac:dyDescent="0.2">
      <c r="B26" s="101" t="s">
        <v>176</v>
      </c>
      <c r="C26" s="102" t="s">
        <v>7</v>
      </c>
      <c r="D26" s="103">
        <f>-(rHealthyStage1+rHealthyStage2+rHealthyStage3)</f>
        <v>-8.3381608939051138E-2</v>
      </c>
      <c r="E26" s="103">
        <f>rHealthyStage1</f>
        <v>5.2113505586906958E-2</v>
      </c>
      <c r="F26" s="103">
        <f>rHealthyStage2</f>
        <v>2.0845402234762785E-2</v>
      </c>
      <c r="G26" s="103">
        <f>rHealthyStage3</f>
        <v>1.0422701117381392E-2</v>
      </c>
      <c r="H26" s="104">
        <v>0</v>
      </c>
      <c r="I26" s="105">
        <v>0</v>
      </c>
      <c r="J26" s="106"/>
      <c r="K26" s="107" t="s">
        <v>177</v>
      </c>
      <c r="L26" s="108">
        <f>1-M26-N26-O26</f>
        <v>0.91999999999999993</v>
      </c>
      <c r="M26" s="108">
        <f>(rHealthyStage1/(rHealthyStage1+rHealthyStage2+rHealthyStage3))*(1-EXP(-(rHealthyStage1+rHealthyStage2+rHealthyStage3)))</f>
        <v>5.0000000000000044E-2</v>
      </c>
      <c r="N26" s="108">
        <f>(rHealthyStage2/(rHealthyStage1+rHealthyStage2+rHealthyStage3))*(1-EXP(-(rHealthyStage1+rHealthyStage2+rHealthyStage3)))</f>
        <v>2.0000000000000018E-2</v>
      </c>
      <c r="O26" s="108">
        <f>(rHealthyStage3/(rHealthyStage1+rHealthyStage2+rHealthyStage3))*(1-EXP(-(rHealthyStage1+rHealthyStage2+rHealthyStage3)))</f>
        <v>1.0000000000000009E-2</v>
      </c>
      <c r="P26" s="108">
        <v>0</v>
      </c>
      <c r="Q26" s="109">
        <v>0</v>
      </c>
      <c r="R26" s="106"/>
      <c r="S26" s="107" t="s">
        <v>186</v>
      </c>
      <c r="T26" s="110">
        <f>AA26+AH26+(1/FACT(2))*AO26 + (1/FACT(3))*AV26+(1/FACT(4))*BC26</f>
        <v>0.92000003312566181</v>
      </c>
      <c r="U26" s="110">
        <f t="shared" ref="U26:U31" si="39">AB26+AI26+(1/FACT(2))*AP26 + (1/FACT(3))*AW26+(1/FACT(4))*BD26</f>
        <v>4.1156779433542186E-2</v>
      </c>
      <c r="V26" s="110">
        <f t="shared" ref="V26:V31" si="40">AC26+AJ26+(1/FACT(2))*AQ26 + (1/FACT(3))*AX26+(1/FACT(4))*BE26</f>
        <v>1.8256656708182918E-2</v>
      </c>
      <c r="W26" s="110">
        <f t="shared" ref="W26:W31" si="41">AD26+AK26+(1/FACT(2))*AR26 + (1/FACT(3))*AY26+(1/FACT(4))*BF26</f>
        <v>8.6340959938034072E-3</v>
      </c>
      <c r="X26" s="110">
        <f t="shared" ref="X26:X31" si="42">AE26+AL26+(1/FACT(2))*AS26 + (1/FACT(3))*AZ26+(1/FACT(4))*BG26</f>
        <v>9.0781311669826375E-3</v>
      </c>
      <c r="Y26" s="111">
        <f t="shared" ref="Y26:Y31" si="43">AF26+AM26+(1/FACT(2))*AT26 + (1/FACT(3))*BA26+(1/FACT(4))*BH26</f>
        <v>2.8743035718271285E-3</v>
      </c>
      <c r="Z26" s="106"/>
      <c r="AA26" s="112">
        <v>1</v>
      </c>
      <c r="AB26" s="112">
        <v>0</v>
      </c>
      <c r="AC26" s="112">
        <v>0</v>
      </c>
      <c r="AD26" s="112">
        <v>0</v>
      </c>
      <c r="AE26" s="112">
        <v>0</v>
      </c>
      <c r="AF26" s="112">
        <v>0</v>
      </c>
      <c r="AG26" s="61"/>
      <c r="AH26" s="126">
        <f>D26</f>
        <v>-8.3381608939051138E-2</v>
      </c>
      <c r="AI26" s="113">
        <f t="shared" ref="AI26:AI31" si="44">E26</f>
        <v>5.2113505586906958E-2</v>
      </c>
      <c r="AJ26" s="124">
        <f t="shared" ref="AJ26:AJ31" si="45">F26</f>
        <v>2.0845402234762785E-2</v>
      </c>
      <c r="AK26" s="124">
        <f t="shared" ref="AK26:AK31" si="46">G26</f>
        <v>1.0422701117381392E-2</v>
      </c>
      <c r="AL26" s="113">
        <f t="shared" ref="AL26:AL31" si="47">H26</f>
        <v>0</v>
      </c>
      <c r="AM26" s="113">
        <f t="shared" ref="AM26:AM31" si="48">I26</f>
        <v>0</v>
      </c>
      <c r="AN26" s="125"/>
      <c r="AO26" s="113" cm="1">
        <f t="array" ref="AO26:AT31">MMULT(AH26:AM31,AH26:AM31)</f>
        <v>6.9524927092648528E-3</v>
      </c>
      <c r="AP26" s="113">
        <v>-2.5463870147915513E-2</v>
      </c>
      <c r="AQ26" s="113">
        <v>-5.2498685002006461E-3</v>
      </c>
      <c r="AR26" s="113">
        <v>-4.1003903822803816E-3</v>
      </c>
      <c r="AS26" s="113">
        <v>2.1359617017132973E-2</v>
      </c>
      <c r="AT26" s="113">
        <v>6.5020193039987129E-3</v>
      </c>
      <c r="AU26" s="125"/>
      <c r="AV26" s="113" cm="1">
        <f t="array" ref="AV26:BA31">MMULT(_xlfn.ANCHORARRAY(AO26),AH26:AM31)</f>
        <v>-5.797100282355261E-4</v>
      </c>
      <c r="AW26" s="113">
        <v>1.2103699661495706E-2</v>
      </c>
      <c r="AX26" s="113">
        <v>-1.487562682464184E-4</v>
      </c>
      <c r="AY26" s="113">
        <v>1.9089750294630455E-3</v>
      </c>
      <c r="AZ26" s="113">
        <v>-1.0726251765071321E-2</v>
      </c>
      <c r="BA26" s="113">
        <v>-2.5579566294054866E-3</v>
      </c>
      <c r="BB26" s="125"/>
      <c r="BC26" s="113" cm="1">
        <f t="array" ref="BC26:BH31">MMULT(_xlfn.ANCHORARRAY(AV26),AH26:AM31)</f>
        <v>4.8337154872380933E-5</v>
      </c>
      <c r="BD26" s="113">
        <v>-5.8097845517511935E-3</v>
      </c>
      <c r="BE26" s="113">
        <v>1.4635544374766525E-3</v>
      </c>
      <c r="BF26" s="113">
        <v>-1.3577384963592252E-3</v>
      </c>
      <c r="BG26" s="113">
        <v>4.4647508622729015E-3</v>
      </c>
      <c r="BH26" s="114">
        <v>1.1908805934884837E-3</v>
      </c>
    </row>
    <row r="27" spans="2:60" ht="16" customHeight="1" x14ac:dyDescent="0.2">
      <c r="B27" s="101" t="s">
        <v>176</v>
      </c>
      <c r="C27" s="102" t="s">
        <v>8</v>
      </c>
      <c r="D27" s="104">
        <v>0</v>
      </c>
      <c r="E27" s="103">
        <f>-(rStage1Remission+rStage1Stage2)</f>
        <v>-0.43078291609245428</v>
      </c>
      <c r="F27" s="103">
        <f>rStage1Stage2</f>
        <v>0.12308083316927264</v>
      </c>
      <c r="G27" s="104">
        <v>0</v>
      </c>
      <c r="H27" s="103">
        <f>rStage1Remission</f>
        <v>0.30770208292318163</v>
      </c>
      <c r="I27" s="105">
        <v>0</v>
      </c>
      <c r="J27" s="106"/>
      <c r="K27" s="107"/>
      <c r="L27" s="108">
        <v>0</v>
      </c>
      <c r="M27" s="108">
        <f>1-N27-P27</f>
        <v>0.65</v>
      </c>
      <c r="N27" s="108">
        <f>rStage1Stage2/(rStage1Remission+rStage1Stage2)*(1-EXP(-(rStage1Remission+rStage1Stage2)))</f>
        <v>9.9999999999999992E-2</v>
      </c>
      <c r="O27" s="108">
        <v>0</v>
      </c>
      <c r="P27" s="108">
        <f>rStage1Remission/(rStage1Remission+rStage1Stage2)*(1-EXP(-(rStage1Remission+rStage1Stage2)))</f>
        <v>0.25</v>
      </c>
      <c r="Q27" s="109">
        <f>(1-EXP(-I27))</f>
        <v>0</v>
      </c>
      <c r="R27" s="106"/>
      <c r="S27" s="107"/>
      <c r="T27" s="110">
        <f t="shared" ref="T27:T31" si="49">AA27+AH27+(1/FACT(2))*AO27 + (1/FACT(3))*AV27+(1/FACT(4))*BC27</f>
        <v>0</v>
      </c>
      <c r="U27" s="110">
        <f t="shared" si="39"/>
        <v>0.65881597555886895</v>
      </c>
      <c r="V27" s="110">
        <f t="shared" si="40"/>
        <v>7.9469246278086783E-2</v>
      </c>
      <c r="W27" s="110">
        <f t="shared" si="41"/>
        <v>7.2911883913273547E-3</v>
      </c>
      <c r="X27" s="110">
        <f t="shared" si="42"/>
        <v>0.25294229254214828</v>
      </c>
      <c r="Y27" s="111">
        <f t="shared" si="43"/>
        <v>1.4812972295685147E-3</v>
      </c>
      <c r="Z27" s="106"/>
      <c r="AA27" s="112">
        <v>0</v>
      </c>
      <c r="AB27" s="112">
        <v>1</v>
      </c>
      <c r="AC27" s="112">
        <v>0</v>
      </c>
      <c r="AD27" s="112">
        <v>0</v>
      </c>
      <c r="AE27" s="112">
        <v>0</v>
      </c>
      <c r="AF27" s="112">
        <v>0</v>
      </c>
      <c r="AG27" s="61"/>
      <c r="AH27" s="126">
        <f t="shared" ref="AH27:AH31" si="50">D27</f>
        <v>0</v>
      </c>
      <c r="AI27" s="113">
        <f t="shared" si="44"/>
        <v>-0.43078291609245428</v>
      </c>
      <c r="AJ27" s="124">
        <f t="shared" si="45"/>
        <v>0.12308083316927264</v>
      </c>
      <c r="AK27" s="124">
        <f t="shared" si="46"/>
        <v>0</v>
      </c>
      <c r="AL27" s="113">
        <f t="shared" si="47"/>
        <v>0.30770208292318163</v>
      </c>
      <c r="AM27" s="113">
        <f t="shared" si="48"/>
        <v>0</v>
      </c>
      <c r="AN27" s="125"/>
      <c r="AO27" s="113">
        <v>0</v>
      </c>
      <c r="AP27" s="113">
        <v>0.20938313575104017</v>
      </c>
      <c r="AQ27" s="113">
        <v>-0.10951391979237758</v>
      </c>
      <c r="AR27" s="113">
        <v>2.3577316266499327E-2</v>
      </c>
      <c r="AS27" s="113">
        <v>-0.12344653222516189</v>
      </c>
      <c r="AT27" s="113">
        <v>0</v>
      </c>
      <c r="AU27" s="125"/>
      <c r="AV27" s="113">
        <v>0</v>
      </c>
      <c r="AW27" s="113">
        <v>-0.1035904926134959</v>
      </c>
      <c r="AX27" s="113">
        <v>8.0788222112180064E-2</v>
      </c>
      <c r="AY27" s="113">
        <v>-3.7320993941169125E-2</v>
      </c>
      <c r="AZ27" s="113">
        <v>4.5414969176720228E-2</v>
      </c>
      <c r="BA27" s="113">
        <v>1.4708295265764729E-2</v>
      </c>
      <c r="BB27" s="125"/>
      <c r="BC27" s="113">
        <v>0</v>
      </c>
      <c r="BD27" s="113">
        <v>5.2137741073261502E-2</v>
      </c>
      <c r="BE27" s="113">
        <v>-5.5663936328649494E-2</v>
      </c>
      <c r="BF27" s="113">
        <v>4.1344701958541098E-2</v>
      </c>
      <c r="BG27" s="113">
        <v>-1.4536459149738543E-2</v>
      </c>
      <c r="BH27" s="114">
        <v>-2.3282047553414561E-2</v>
      </c>
    </row>
    <row r="28" spans="2:60" ht="16" customHeight="1" x14ac:dyDescent="0.2">
      <c r="B28" s="101" t="s">
        <v>176</v>
      </c>
      <c r="C28" s="102" t="s">
        <v>9</v>
      </c>
      <c r="D28" s="104">
        <v>0</v>
      </c>
      <c r="E28" s="103">
        <f>rStage2Stage1</f>
        <v>6.385320297074884E-2</v>
      </c>
      <c r="F28" s="103">
        <f>-(rStage2Remission+rStage2Stage1+rStage2Stage3)</f>
        <v>-0.51082562376599072</v>
      </c>
      <c r="G28" s="103">
        <f>rStage2Stage3</f>
        <v>0.19155960891224652</v>
      </c>
      <c r="H28" s="103">
        <f>rStage2Remission</f>
        <v>0.25541281188299536</v>
      </c>
      <c r="I28" s="105">
        <v>0</v>
      </c>
      <c r="J28" s="106"/>
      <c r="K28" s="107"/>
      <c r="L28" s="108">
        <v>0</v>
      </c>
      <c r="M28" s="108">
        <f>rStage2Stage1/(rStage2Stage1+rStage2Stage3+rStage2Remission)*(1-EXP(-(rStage2Stage1+rStage2Stage3+rStage2Remission)))</f>
        <v>0.05</v>
      </c>
      <c r="N28" s="108">
        <f>1-M28-O28-P28</f>
        <v>0.59999999999999987</v>
      </c>
      <c r="O28" s="108">
        <f>rStage2Stage3/(rStage2Stage1+rStage2Stage3+rStage2Remission)*(1-EXP(-(rStage2Stage1+rStage2Stage3+rStage2Remission)))</f>
        <v>0.15000000000000002</v>
      </c>
      <c r="P28" s="108">
        <f>rStage2Remission/(rStage2Stage1+rStage2Stage3+rStage2Remission)*(1-EXP(-(rStage2Stage1+rStage2Stage3+rStage2Remission)))</f>
        <v>0.2</v>
      </c>
      <c r="Q28" s="109">
        <v>0</v>
      </c>
      <c r="R28" s="106"/>
      <c r="S28" s="107"/>
      <c r="T28" s="110">
        <f t="shared" si="49"/>
        <v>0</v>
      </c>
      <c r="U28" s="110">
        <f t="shared" si="39"/>
        <v>4.483812811724925E-2</v>
      </c>
      <c r="V28" s="110">
        <f t="shared" si="40"/>
        <v>0.60881029940928721</v>
      </c>
      <c r="W28" s="110">
        <f t="shared" si="41"/>
        <v>0.10448831602884262</v>
      </c>
      <c r="X28" s="110">
        <f t="shared" si="42"/>
        <v>0.2005058427778057</v>
      </c>
      <c r="Y28" s="111">
        <f t="shared" si="43"/>
        <v>4.1357413666815154E-2</v>
      </c>
      <c r="Z28" s="106"/>
      <c r="AA28" s="112">
        <v>0</v>
      </c>
      <c r="AB28" s="112">
        <v>0</v>
      </c>
      <c r="AC28" s="112">
        <v>1</v>
      </c>
      <c r="AD28" s="112">
        <v>0</v>
      </c>
      <c r="AE28" s="112">
        <v>0</v>
      </c>
      <c r="AF28" s="112">
        <v>0</v>
      </c>
      <c r="AG28" s="61"/>
      <c r="AH28" s="126">
        <f t="shared" si="50"/>
        <v>0</v>
      </c>
      <c r="AI28" s="113">
        <f t="shared" si="44"/>
        <v>6.385320297074884E-2</v>
      </c>
      <c r="AJ28" s="124">
        <f t="shared" si="45"/>
        <v>-0.51082562376599072</v>
      </c>
      <c r="AK28" s="124">
        <f t="shared" si="46"/>
        <v>0.19155960891224652</v>
      </c>
      <c r="AL28" s="113">
        <f t="shared" si="47"/>
        <v>0.25541281188299536</v>
      </c>
      <c r="AM28" s="113">
        <f t="shared" si="48"/>
        <v>0</v>
      </c>
      <c r="AN28" s="125"/>
      <c r="AO28" s="113">
        <v>0</v>
      </c>
      <c r="AP28" s="113">
        <v>-4.6885089273684261E-2</v>
      </c>
      <c r="AQ28" s="113">
        <v>0.28737567637710387</v>
      </c>
      <c r="AR28" s="113">
        <v>-0.23063255953765702</v>
      </c>
      <c r="AS28" s="113">
        <v>-0.12935913010978312</v>
      </c>
      <c r="AT28" s="113">
        <v>0.11950110254402049</v>
      </c>
      <c r="AU28" s="125"/>
      <c r="AV28" s="113">
        <v>0</v>
      </c>
      <c r="AW28" s="113">
        <v>3.1841665945008639E-2</v>
      </c>
      <c r="AX28" s="113">
        <v>-0.17123794060086447</v>
      </c>
      <c r="AY28" s="113">
        <v>0.21491188056654104</v>
      </c>
      <c r="AZ28" s="113">
        <v>6.8360471639280412E-2</v>
      </c>
      <c r="BA28" s="113">
        <v>-0.14387607754996562</v>
      </c>
      <c r="BB28" s="125"/>
      <c r="BC28" s="113">
        <v>0</v>
      </c>
      <c r="BD28" s="113">
        <v>-2.1107388979813579E-2</v>
      </c>
      <c r="BE28" s="113">
        <v>0.10770580208488258</v>
      </c>
      <c r="BF28" s="113">
        <v>-0.18176783701597371</v>
      </c>
      <c r="BG28" s="113">
        <v>-3.8899583764275533E-2</v>
      </c>
      <c r="BH28" s="114">
        <v>0.13406900767518026</v>
      </c>
    </row>
    <row r="29" spans="2:60" ht="16" customHeight="1" x14ac:dyDescent="0.2">
      <c r="B29" s="101" t="s">
        <v>176</v>
      </c>
      <c r="C29" s="102" t="s">
        <v>10</v>
      </c>
      <c r="D29" s="104">
        <v>0</v>
      </c>
      <c r="E29" s="104">
        <v>0</v>
      </c>
      <c r="F29" s="103">
        <f>rStage3Stage2</f>
        <v>6.9314718055994526E-2</v>
      </c>
      <c r="G29" s="103">
        <f>-(rStage3Death+rStage3Stage2)</f>
        <v>-0.69314718055994529</v>
      </c>
      <c r="H29" s="104">
        <v>0</v>
      </c>
      <c r="I29" s="115">
        <f>rStage3Death</f>
        <v>0.62383246250395075</v>
      </c>
      <c r="J29" s="106"/>
      <c r="K29" s="107"/>
      <c r="L29" s="108">
        <v>0</v>
      </c>
      <c r="M29" s="108">
        <v>0</v>
      </c>
      <c r="N29" s="108">
        <f>rStage3Stage2/(rStage3Death+rStage3Stage2)*(1-EXP(-(rStage3Death+rStage3Stage2)))</f>
        <v>4.9999999999999996E-2</v>
      </c>
      <c r="O29" s="108">
        <f>1-N29-Q29</f>
        <v>0.49999999999999994</v>
      </c>
      <c r="P29" s="108">
        <v>0</v>
      </c>
      <c r="Q29" s="109">
        <f>rStage3Death/(rStage3Death+rStage3Stage2)*(1-EXP(-(rStage3Death+rStage3Stage2)))</f>
        <v>0.45</v>
      </c>
      <c r="R29" s="106"/>
      <c r="S29" s="107"/>
      <c r="T29" s="110">
        <f t="shared" si="49"/>
        <v>0</v>
      </c>
      <c r="U29" s="110">
        <f t="shared" si="39"/>
        <v>1.4344617516834158E-3</v>
      </c>
      <c r="V29" s="110">
        <f t="shared" si="40"/>
        <v>3.7808482731882725E-2</v>
      </c>
      <c r="W29" s="110">
        <f t="shared" si="41"/>
        <v>0.50498220092151047</v>
      </c>
      <c r="X29" s="110">
        <f t="shared" si="42"/>
        <v>6.1230940576013047E-3</v>
      </c>
      <c r="Y29" s="111">
        <f t="shared" si="43"/>
        <v>0.44965176053732209</v>
      </c>
      <c r="Z29" s="106"/>
      <c r="AA29" s="112">
        <v>0</v>
      </c>
      <c r="AB29" s="112">
        <v>0</v>
      </c>
      <c r="AC29" s="112">
        <v>0</v>
      </c>
      <c r="AD29" s="112">
        <v>1</v>
      </c>
      <c r="AE29" s="112">
        <v>0</v>
      </c>
      <c r="AF29" s="112">
        <v>0</v>
      </c>
      <c r="AG29" s="61"/>
      <c r="AH29" s="126">
        <f t="shared" si="50"/>
        <v>0</v>
      </c>
      <c r="AI29" s="113">
        <f t="shared" si="44"/>
        <v>0</v>
      </c>
      <c r="AJ29" s="124">
        <f t="shared" si="45"/>
        <v>6.9314718055994526E-2</v>
      </c>
      <c r="AK29" s="124">
        <f t="shared" si="46"/>
        <v>-0.69314718055994529</v>
      </c>
      <c r="AL29" s="113">
        <f t="shared" si="47"/>
        <v>0</v>
      </c>
      <c r="AM29" s="113">
        <f t="shared" si="48"/>
        <v>0.62383246250395075</v>
      </c>
      <c r="AN29" s="125"/>
      <c r="AO29" s="113">
        <v>0</v>
      </c>
      <c r="AP29" s="113">
        <v>4.4259667608896481E-3</v>
      </c>
      <c r="AQ29" s="113">
        <v>-8.3453035478937315E-2</v>
      </c>
      <c r="AR29" s="113">
        <v>0.49373091420087034</v>
      </c>
      <c r="AS29" s="113">
        <v>1.7703867043558592E-2</v>
      </c>
      <c r="AT29" s="113">
        <v>-0.43240771252638127</v>
      </c>
      <c r="AU29" s="125"/>
      <c r="AV29" s="113">
        <v>0</v>
      </c>
      <c r="AW29" s="113">
        <v>-6.3176731255982499E-3</v>
      </c>
      <c r="AX29" s="113">
        <v>7.7764600235624162E-2</v>
      </c>
      <c r="AY29" s="113">
        <v>-0.35821442197250258</v>
      </c>
      <c r="AZ29" s="113">
        <v>-2.1237877157779098E-2</v>
      </c>
      <c r="BA29" s="113">
        <v>0.3080053720202558</v>
      </c>
      <c r="BB29" s="125"/>
      <c r="BC29" s="113">
        <v>0</v>
      </c>
      <c r="BD29" s="113">
        <v>6.5861734121191997E-3</v>
      </c>
      <c r="BE29" s="113">
        <v>-6.5771622973932201E-2</v>
      </c>
      <c r="BF29" s="113">
        <v>0.26319187303450403</v>
      </c>
      <c r="BG29" s="113">
        <v>1.9459361490844582E-2</v>
      </c>
      <c r="BH29" s="114">
        <v>-0.22346578496353561</v>
      </c>
    </row>
    <row r="30" spans="2:60" x14ac:dyDescent="0.2">
      <c r="B30" s="101" t="s">
        <v>176</v>
      </c>
      <c r="C30" s="102" t="s">
        <v>11</v>
      </c>
      <c r="D30" s="104">
        <v>0</v>
      </c>
      <c r="E30" s="103">
        <f>rRemissionStage1*hrRemissionStage1_trtC</f>
        <v>5.1836209167739643E-2</v>
      </c>
      <c r="F30" s="103">
        <f>rRemissionStage2*hrRemissionStage2_trtC</f>
        <v>2.0734483667095856E-2</v>
      </c>
      <c r="G30" s="104">
        <v>0</v>
      </c>
      <c r="H30" s="103">
        <f>-(hrRemissionStage1_trtC*rRemissionStage1+hrRemissionStage2_trtC*rRemissionStage2)</f>
        <v>-7.2570692834835498E-2</v>
      </c>
      <c r="I30" s="105">
        <v>0</v>
      </c>
      <c r="J30" s="106"/>
      <c r="K30" s="107"/>
      <c r="L30" s="108">
        <v>0</v>
      </c>
      <c r="M30" s="108">
        <f>E30/(E30+F30)*(1-EXP(-(E30+F30)))</f>
        <v>5.0000000000000044E-2</v>
      </c>
      <c r="N30" s="108">
        <f>F30/(E30+F30)*(1-EXP(-(E30+F30)))</f>
        <v>2.0000000000000018E-2</v>
      </c>
      <c r="O30" s="108">
        <v>0</v>
      </c>
      <c r="P30" s="108">
        <f>1-M30-N30</f>
        <v>0.92999999999999994</v>
      </c>
      <c r="Q30" s="109">
        <v>0</v>
      </c>
      <c r="R30" s="106"/>
      <c r="S30" s="107"/>
      <c r="T30" s="110">
        <f t="shared" si="49"/>
        <v>0</v>
      </c>
      <c r="U30" s="110">
        <f t="shared" si="39"/>
        <v>4.1167161461335505E-2</v>
      </c>
      <c r="V30" s="110">
        <f t="shared" si="40"/>
        <v>1.801684630540884E-2</v>
      </c>
      <c r="W30" s="110">
        <f t="shared" si="41"/>
        <v>1.4612883365655925E-3</v>
      </c>
      <c r="X30" s="110">
        <f t="shared" si="42"/>
        <v>0.93904176283323504</v>
      </c>
      <c r="Y30" s="111">
        <f t="shared" si="43"/>
        <v>3.1294106345496579E-4</v>
      </c>
      <c r="Z30" s="106"/>
      <c r="AA30" s="112">
        <v>0</v>
      </c>
      <c r="AB30" s="112">
        <v>0</v>
      </c>
      <c r="AC30" s="112">
        <v>0</v>
      </c>
      <c r="AD30" s="112">
        <v>0</v>
      </c>
      <c r="AE30" s="112">
        <v>1</v>
      </c>
      <c r="AF30" s="112">
        <v>0</v>
      </c>
      <c r="AG30" s="61"/>
      <c r="AH30" s="126">
        <f t="shared" si="50"/>
        <v>0</v>
      </c>
      <c r="AI30" s="113">
        <f t="shared" si="44"/>
        <v>5.1836209167739643E-2</v>
      </c>
      <c r="AJ30" s="124">
        <f t="shared" si="45"/>
        <v>2.0734483667095856E-2</v>
      </c>
      <c r="AK30" s="124">
        <f t="shared" si="46"/>
        <v>0</v>
      </c>
      <c r="AL30" s="113">
        <f t="shared" si="47"/>
        <v>-7.2570692834835498E-2</v>
      </c>
      <c r="AM30" s="113">
        <f t="shared" si="48"/>
        <v>0</v>
      </c>
      <c r="AN30" s="125"/>
      <c r="AO30" s="113">
        <v>0</v>
      </c>
      <c r="AP30" s="113">
        <v>-2.4767979763602864E-2</v>
      </c>
      <c r="AQ30" s="113">
        <v>-5.71637758530163E-3</v>
      </c>
      <c r="AR30" s="113">
        <v>3.9718895822662449E-3</v>
      </c>
      <c r="AS30" s="113">
        <v>2.6512467766638247E-2</v>
      </c>
      <c r="AT30" s="113">
        <v>0</v>
      </c>
      <c r="AU30" s="125"/>
      <c r="AV30" s="113">
        <v>0</v>
      </c>
      <c r="AW30" s="113">
        <v>1.1678919354776449E-2</v>
      </c>
      <c r="AX30" s="113">
        <v>6.9664129689580093E-4</v>
      </c>
      <c r="AY30" s="113">
        <v>-3.848131120078379E-3</v>
      </c>
      <c r="AZ30" s="113">
        <v>-1.1005223190492811E-2</v>
      </c>
      <c r="BA30" s="113">
        <v>2.47779365889894E-3</v>
      </c>
      <c r="BB30" s="125"/>
      <c r="BC30" s="113">
        <v>0</v>
      </c>
      <c r="BD30" s="113">
        <v>-5.5570652095707539E-3</v>
      </c>
      <c r="BE30" s="113">
        <v>5.8666915554793386E-4</v>
      </c>
      <c r="BF30" s="113">
        <v>2.8007695706927923E-3</v>
      </c>
      <c r="BG30" s="113">
        <v>4.5702155960066085E-3</v>
      </c>
      <c r="BH30" s="114">
        <v>-2.4005891126765815E-3</v>
      </c>
    </row>
    <row r="31" spans="2:60" ht="16" thickBot="1" x14ac:dyDescent="0.25">
      <c r="B31" s="101" t="s">
        <v>176</v>
      </c>
      <c r="C31" s="131" t="s">
        <v>12</v>
      </c>
      <c r="D31" s="132">
        <v>0</v>
      </c>
      <c r="E31" s="132">
        <v>0</v>
      </c>
      <c r="F31" s="132">
        <v>0</v>
      </c>
      <c r="G31" s="132">
        <v>0</v>
      </c>
      <c r="H31" s="132">
        <v>0</v>
      </c>
      <c r="I31" s="133">
        <v>0</v>
      </c>
      <c r="J31" s="106"/>
      <c r="K31" s="128"/>
      <c r="L31" s="134">
        <v>0</v>
      </c>
      <c r="M31" s="134">
        <v>0</v>
      </c>
      <c r="N31" s="134">
        <v>0</v>
      </c>
      <c r="O31" s="134">
        <v>0</v>
      </c>
      <c r="P31" s="134">
        <v>0</v>
      </c>
      <c r="Q31" s="135">
        <v>1</v>
      </c>
      <c r="R31" s="106"/>
      <c r="S31" s="128"/>
      <c r="T31" s="129">
        <f t="shared" si="49"/>
        <v>0</v>
      </c>
      <c r="U31" s="129">
        <f t="shared" si="39"/>
        <v>0</v>
      </c>
      <c r="V31" s="129">
        <f t="shared" si="40"/>
        <v>0</v>
      </c>
      <c r="W31" s="129">
        <f t="shared" si="41"/>
        <v>0</v>
      </c>
      <c r="X31" s="129">
        <f t="shared" si="42"/>
        <v>0</v>
      </c>
      <c r="Y31" s="130">
        <f t="shared" si="43"/>
        <v>1</v>
      </c>
      <c r="Z31" s="106"/>
      <c r="AA31" s="112">
        <v>0</v>
      </c>
      <c r="AB31" s="112">
        <v>0</v>
      </c>
      <c r="AC31" s="112">
        <v>0</v>
      </c>
      <c r="AD31" s="112">
        <v>0</v>
      </c>
      <c r="AE31" s="112">
        <v>0</v>
      </c>
      <c r="AF31" s="112">
        <v>1</v>
      </c>
      <c r="AG31" s="61"/>
      <c r="AH31" s="136">
        <f t="shared" si="50"/>
        <v>0</v>
      </c>
      <c r="AI31" s="137">
        <f t="shared" si="44"/>
        <v>0</v>
      </c>
      <c r="AJ31" s="138">
        <f t="shared" si="45"/>
        <v>0</v>
      </c>
      <c r="AK31" s="138">
        <f t="shared" si="46"/>
        <v>0</v>
      </c>
      <c r="AL31" s="137">
        <f t="shared" si="47"/>
        <v>0</v>
      </c>
      <c r="AM31" s="137">
        <f t="shared" si="48"/>
        <v>0</v>
      </c>
      <c r="AN31" s="139"/>
      <c r="AO31" s="137">
        <v>0</v>
      </c>
      <c r="AP31" s="137">
        <v>0</v>
      </c>
      <c r="AQ31" s="137">
        <v>0</v>
      </c>
      <c r="AR31" s="137">
        <v>0</v>
      </c>
      <c r="AS31" s="137">
        <v>0</v>
      </c>
      <c r="AT31" s="137">
        <v>0</v>
      </c>
      <c r="AU31" s="139"/>
      <c r="AV31" s="137">
        <v>0</v>
      </c>
      <c r="AW31" s="137">
        <v>0</v>
      </c>
      <c r="AX31" s="137">
        <v>0</v>
      </c>
      <c r="AY31" s="137">
        <v>0</v>
      </c>
      <c r="AZ31" s="137">
        <v>0</v>
      </c>
      <c r="BA31" s="137">
        <v>0</v>
      </c>
      <c r="BB31" s="139"/>
      <c r="BC31" s="137">
        <v>0</v>
      </c>
      <c r="BD31" s="137">
        <v>0</v>
      </c>
      <c r="BE31" s="137">
        <v>0</v>
      </c>
      <c r="BF31" s="137">
        <v>0</v>
      </c>
      <c r="BG31" s="137">
        <v>0</v>
      </c>
      <c r="BH31" s="140">
        <v>0</v>
      </c>
    </row>
    <row r="33" spans="19:25" ht="16" thickBot="1" x14ac:dyDescent="0.25"/>
    <row r="34" spans="19:25" ht="17" thickBot="1" x14ac:dyDescent="0.25">
      <c r="S34" s="84" t="s">
        <v>242</v>
      </c>
      <c r="T34" s="85"/>
      <c r="U34" s="85"/>
      <c r="V34" s="85"/>
      <c r="W34" s="85"/>
      <c r="X34" s="85"/>
      <c r="Y34" s="86"/>
    </row>
    <row r="35" spans="19:25" ht="16" x14ac:dyDescent="0.2">
      <c r="S35" s="87"/>
      <c r="T35" s="228" t="s">
        <v>164</v>
      </c>
      <c r="U35" s="228"/>
      <c r="V35" s="228"/>
      <c r="W35" s="228"/>
      <c r="X35" s="228"/>
      <c r="Y35" s="229"/>
    </row>
    <row r="36" spans="19:25" ht="17" x14ac:dyDescent="0.2">
      <c r="S36" s="97"/>
      <c r="T36" s="94" t="s">
        <v>7</v>
      </c>
      <c r="U36" s="123" t="s">
        <v>8</v>
      </c>
      <c r="V36" s="123" t="s">
        <v>9</v>
      </c>
      <c r="W36" s="123" t="s">
        <v>10</v>
      </c>
      <c r="X36" s="123" t="s">
        <v>11</v>
      </c>
      <c r="Y36" s="95" t="s">
        <v>12</v>
      </c>
    </row>
    <row r="37" spans="19:25" ht="16" x14ac:dyDescent="0.2">
      <c r="S37" s="107" t="s">
        <v>243</v>
      </c>
      <c r="T37" s="110">
        <v>0.92</v>
      </c>
      <c r="U37" s="110">
        <v>4.1333250000000002E-2</v>
      </c>
      <c r="V37" s="110">
        <v>1.8340039999999998E-2</v>
      </c>
      <c r="W37" s="110">
        <v>8.6470160000000004E-3</v>
      </c>
      <c r="X37" s="110">
        <v>8.8109710000000008E-3</v>
      </c>
      <c r="Y37" s="111">
        <v>2.8687218000000001E-3</v>
      </c>
    </row>
    <row r="38" spans="19:25" x14ac:dyDescent="0.2">
      <c r="S38" s="107"/>
      <c r="T38" s="110">
        <v>0</v>
      </c>
      <c r="U38" s="110">
        <v>0.664940592</v>
      </c>
      <c r="V38" s="110">
        <v>8.3637210000000003E-2</v>
      </c>
      <c r="W38" s="110">
        <v>7.2306549999999999E-3</v>
      </c>
      <c r="X38" s="110">
        <v>0.242487697</v>
      </c>
      <c r="Y38" s="111">
        <v>1.7038463000000001E-3</v>
      </c>
    </row>
    <row r="39" spans="19:25" x14ac:dyDescent="0.2">
      <c r="S39" s="107"/>
      <c r="T39" s="110">
        <v>0</v>
      </c>
      <c r="U39" s="110">
        <v>5.0030155E-2</v>
      </c>
      <c r="V39" s="110">
        <v>0.61140563000000003</v>
      </c>
      <c r="W39" s="110">
        <v>0.105748037</v>
      </c>
      <c r="X39" s="110">
        <v>0.192258869</v>
      </c>
      <c r="Y39" s="111">
        <v>4.0557307000000001E-2</v>
      </c>
    </row>
    <row r="40" spans="19:25" x14ac:dyDescent="0.2">
      <c r="S40" s="107"/>
      <c r="T40" s="110">
        <v>0</v>
      </c>
      <c r="U40" s="110">
        <v>1.498599E-3</v>
      </c>
      <c r="V40" s="110">
        <v>3.8264310000000003E-2</v>
      </c>
      <c r="W40" s="110">
        <v>0.50354208899999997</v>
      </c>
      <c r="X40" s="110">
        <v>5.8271549999999997E-3</v>
      </c>
      <c r="Y40" s="111">
        <v>0.45086785039999999</v>
      </c>
    </row>
    <row r="41" spans="19:25" x14ac:dyDescent="0.2">
      <c r="S41" s="107"/>
      <c r="T41" s="110">
        <v>0</v>
      </c>
      <c r="U41" s="110">
        <v>8.2727132999999994E-2</v>
      </c>
      <c r="V41" s="110">
        <v>4.3977769999999999E-2</v>
      </c>
      <c r="W41" s="110">
        <v>3.6037759999999999E-3</v>
      </c>
      <c r="X41" s="110">
        <v>0.86886949899999999</v>
      </c>
      <c r="Y41" s="111">
        <v>8.2182670000000002E-4</v>
      </c>
    </row>
    <row r="42" spans="19:25" x14ac:dyDescent="0.2">
      <c r="S42" s="107"/>
      <c r="T42" s="110">
        <v>0</v>
      </c>
      <c r="U42" s="110">
        <v>0</v>
      </c>
      <c r="V42" s="110">
        <v>0</v>
      </c>
      <c r="W42" s="110">
        <v>0</v>
      </c>
      <c r="X42" s="110">
        <v>0</v>
      </c>
      <c r="Y42" s="111">
        <v>1</v>
      </c>
    </row>
    <row r="43" spans="19:25" ht="16" x14ac:dyDescent="0.2">
      <c r="S43" s="97"/>
      <c r="T43" s="127"/>
      <c r="U43" s="127"/>
      <c r="V43" s="127"/>
      <c r="W43" s="127"/>
      <c r="X43" s="127"/>
      <c r="Y43" s="118"/>
    </row>
    <row r="44" spans="19:25" ht="16" x14ac:dyDescent="0.2">
      <c r="S44" s="107" t="s">
        <v>244</v>
      </c>
      <c r="T44" s="110">
        <v>0.92</v>
      </c>
      <c r="U44" s="110">
        <v>4.1089466999999998E-2</v>
      </c>
      <c r="V44" s="110">
        <v>1.8214215999999998E-2</v>
      </c>
      <c r="W44" s="110">
        <v>8.6415200999999994E-3</v>
      </c>
      <c r="X44" s="110">
        <v>9.1867979999999995E-3</v>
      </c>
      <c r="Y44" s="111">
        <v>2.8679993000000001E-3</v>
      </c>
    </row>
    <row r="45" spans="19:25" x14ac:dyDescent="0.2">
      <c r="S45" s="107"/>
      <c r="T45" s="110">
        <v>0</v>
      </c>
      <c r="U45" s="110">
        <v>0.65492680700000006</v>
      </c>
      <c r="V45" s="110">
        <v>7.8414339999999999E-2</v>
      </c>
      <c r="W45" s="110">
        <v>6.9304702999999999E-3</v>
      </c>
      <c r="X45" s="110">
        <v>0.25807495699999999</v>
      </c>
      <c r="Y45" s="111">
        <v>1.6534261E-3</v>
      </c>
    </row>
    <row r="46" spans="19:25" x14ac:dyDescent="0.2">
      <c r="S46" s="107"/>
      <c r="T46" s="110">
        <v>0</v>
      </c>
      <c r="U46" s="110">
        <v>4.1980394999999997E-2</v>
      </c>
      <c r="V46" s="110">
        <v>0.60720583800000005</v>
      </c>
      <c r="W46" s="110">
        <v>0.10550495930000001</v>
      </c>
      <c r="X46" s="110">
        <v>0.204792534</v>
      </c>
      <c r="Y46" s="111">
        <v>4.0516273999999998E-2</v>
      </c>
    </row>
    <row r="47" spans="19:25" x14ac:dyDescent="0.2">
      <c r="S47" s="107"/>
      <c r="T47" s="110">
        <v>0</v>
      </c>
      <c r="U47" s="110">
        <v>1.3283660000000001E-3</v>
      </c>
      <c r="V47" s="110">
        <v>3.8176348999999998E-2</v>
      </c>
      <c r="W47" s="110">
        <v>0.50353812350000005</v>
      </c>
      <c r="X47" s="110">
        <v>6.089845E-3</v>
      </c>
      <c r="Y47" s="111">
        <v>0.45086731629999999</v>
      </c>
    </row>
    <row r="48" spans="19:25" x14ac:dyDescent="0.2">
      <c r="S48" s="107"/>
      <c r="T48" s="110">
        <v>0</v>
      </c>
      <c r="U48" s="110">
        <v>1.65112E-2</v>
      </c>
      <c r="V48" s="110">
        <v>8.7671720000000002E-3</v>
      </c>
      <c r="W48" s="110">
        <v>7.0546879999999995E-4</v>
      </c>
      <c r="X48" s="110">
        <v>0.97385709899999995</v>
      </c>
      <c r="Y48" s="111">
        <v>1.5906079999999999E-4</v>
      </c>
    </row>
    <row r="49" spans="19:25" x14ac:dyDescent="0.2">
      <c r="S49" s="107"/>
      <c r="T49" s="110">
        <v>0</v>
      </c>
      <c r="U49" s="110">
        <v>0</v>
      </c>
      <c r="V49" s="110">
        <v>0</v>
      </c>
      <c r="W49" s="110">
        <v>0</v>
      </c>
      <c r="X49" s="110">
        <v>0</v>
      </c>
      <c r="Y49" s="111">
        <v>1</v>
      </c>
    </row>
    <row r="50" spans="19:25" x14ac:dyDescent="0.2">
      <c r="S50" s="107"/>
      <c r="T50" s="127"/>
      <c r="U50" s="127"/>
      <c r="V50" s="127"/>
      <c r="W50" s="127"/>
      <c r="X50" s="127"/>
      <c r="Y50" s="118"/>
    </row>
    <row r="51" spans="19:25" ht="16" x14ac:dyDescent="0.2">
      <c r="S51" s="107" t="s">
        <v>245</v>
      </c>
      <c r="T51" s="110">
        <v>0.92</v>
      </c>
      <c r="U51" s="110">
        <v>4.1269611999999997E-2</v>
      </c>
      <c r="V51" s="110">
        <v>1.8278300000000001E-2</v>
      </c>
      <c r="W51" s="110">
        <v>8.6443010000000001E-3</v>
      </c>
      <c r="X51" s="110">
        <v>8.9394190000000005E-3</v>
      </c>
      <c r="Y51" s="111">
        <v>2.8683632000000001E-3</v>
      </c>
    </row>
    <row r="52" spans="19:25" x14ac:dyDescent="0.2">
      <c r="S52" s="107"/>
      <c r="T52" s="110">
        <v>0</v>
      </c>
      <c r="U52" s="110">
        <v>0.66235045400000003</v>
      </c>
      <c r="V52" s="110">
        <v>8.1105090000000005E-2</v>
      </c>
      <c r="W52" s="110">
        <v>7.0835189999999999E-3</v>
      </c>
      <c r="X52" s="110">
        <v>0.247781999</v>
      </c>
      <c r="Y52" s="111">
        <v>1.6789419000000001E-3</v>
      </c>
    </row>
    <row r="53" spans="19:25" x14ac:dyDescent="0.2">
      <c r="S53" s="107"/>
      <c r="T53" s="110">
        <v>0</v>
      </c>
      <c r="U53" s="110">
        <v>4.7948594999999997E-2</v>
      </c>
      <c r="V53" s="110">
        <v>0.60937023000000001</v>
      </c>
      <c r="W53" s="110">
        <v>0.105628913</v>
      </c>
      <c r="X53" s="110">
        <v>0.19651522299999999</v>
      </c>
      <c r="Y53" s="111">
        <v>4.0537041099999997E-2</v>
      </c>
    </row>
    <row r="54" spans="19:25" x14ac:dyDescent="0.2">
      <c r="S54" s="107"/>
      <c r="T54" s="110">
        <v>0</v>
      </c>
      <c r="U54" s="110">
        <v>1.4542019999999999E-3</v>
      </c>
      <c r="V54" s="110">
        <v>3.8221199999999997E-2</v>
      </c>
      <c r="W54" s="110">
        <v>0.50354013200000003</v>
      </c>
      <c r="X54" s="110">
        <v>5.9168800000000002E-3</v>
      </c>
      <c r="Y54" s="111">
        <v>0.45086758539999999</v>
      </c>
    </row>
    <row r="55" spans="19:25" x14ac:dyDescent="0.2">
      <c r="S55" s="107"/>
      <c r="T55" s="110">
        <v>0</v>
      </c>
      <c r="U55" s="110">
        <v>6.5898979999999996E-2</v>
      </c>
      <c r="V55" s="110">
        <v>2.728278E-2</v>
      </c>
      <c r="W55" s="110">
        <v>2.2005100000000001E-3</v>
      </c>
      <c r="X55" s="110">
        <v>0.90412096900000005</v>
      </c>
      <c r="Y55" s="111">
        <v>4.9676539999999995E-4</v>
      </c>
    </row>
    <row r="56" spans="19:25" x14ac:dyDescent="0.2">
      <c r="S56" s="107"/>
      <c r="T56" s="110">
        <v>0</v>
      </c>
      <c r="U56" s="110">
        <v>0</v>
      </c>
      <c r="V56" s="110">
        <v>0</v>
      </c>
      <c r="W56" s="110">
        <v>0</v>
      </c>
      <c r="X56" s="110">
        <v>0</v>
      </c>
      <c r="Y56" s="111">
        <v>1</v>
      </c>
    </row>
    <row r="57" spans="19:25" x14ac:dyDescent="0.2">
      <c r="S57" s="107"/>
      <c r="T57" s="127"/>
      <c r="U57" s="127"/>
      <c r="V57" s="127"/>
      <c r="W57" s="127"/>
      <c r="X57" s="127"/>
      <c r="Y57" s="118"/>
    </row>
    <row r="58" spans="19:25" ht="16" x14ac:dyDescent="0.2">
      <c r="S58" s="107" t="s">
        <v>246</v>
      </c>
      <c r="T58" s="110">
        <v>0.92</v>
      </c>
      <c r="U58" s="110">
        <v>4.1178548000000002E-2</v>
      </c>
      <c r="V58" s="110">
        <v>1.8245899999999999E-2</v>
      </c>
      <c r="W58" s="110">
        <v>8.6428930000000005E-3</v>
      </c>
      <c r="X58" s="110">
        <v>9.0644780000000008E-3</v>
      </c>
      <c r="Y58" s="111">
        <v>2.8681790000000002E-3</v>
      </c>
    </row>
    <row r="59" spans="19:25" x14ac:dyDescent="0.2">
      <c r="S59" s="107"/>
      <c r="T59" s="110">
        <v>0</v>
      </c>
      <c r="U59" s="110">
        <v>0.65861104100000001</v>
      </c>
      <c r="V59" s="110">
        <v>7.9749319999999999E-2</v>
      </c>
      <c r="W59" s="110">
        <v>7.0061630000000001E-3</v>
      </c>
      <c r="X59" s="110">
        <v>0.252967461</v>
      </c>
      <c r="Y59" s="111">
        <v>1.6660170000000001E-3</v>
      </c>
    </row>
    <row r="60" spans="19:25" x14ac:dyDescent="0.2">
      <c r="S60" s="107"/>
      <c r="T60" s="110">
        <v>0</v>
      </c>
      <c r="U60" s="110">
        <v>4.4942628999999998E-2</v>
      </c>
      <c r="V60" s="110">
        <v>0.60827978000000005</v>
      </c>
      <c r="W60" s="110">
        <v>0.10556626600000001</v>
      </c>
      <c r="X60" s="110">
        <v>0.20068480299999999</v>
      </c>
      <c r="Y60" s="111">
        <v>4.0526522000000002E-2</v>
      </c>
    </row>
    <row r="61" spans="19:25" x14ac:dyDescent="0.2">
      <c r="S61" s="107"/>
      <c r="T61" s="110">
        <v>0</v>
      </c>
      <c r="U61" s="110">
        <v>1.3906140000000001E-3</v>
      </c>
      <c r="V61" s="110">
        <v>3.8198530000000001E-2</v>
      </c>
      <c r="W61" s="110">
        <v>0.50353911500000004</v>
      </c>
      <c r="X61" s="110">
        <v>6.0042899999999998E-3</v>
      </c>
      <c r="Y61" s="111">
        <v>0.45086744899999998</v>
      </c>
    </row>
    <row r="62" spans="19:25" x14ac:dyDescent="0.2">
      <c r="S62" s="107"/>
      <c r="T62" s="110">
        <v>0</v>
      </c>
      <c r="U62" s="110">
        <v>4.1187719999999997E-2</v>
      </c>
      <c r="V62" s="110">
        <v>1.801171E-2</v>
      </c>
      <c r="W62" s="110">
        <v>1.4474959999999999E-3</v>
      </c>
      <c r="X62" s="110">
        <v>0.93902702199999999</v>
      </c>
      <c r="Y62" s="111">
        <v>3.2604699999999999E-4</v>
      </c>
    </row>
    <row r="63" spans="19:25" ht="16" thickBot="1" x14ac:dyDescent="0.25">
      <c r="S63" s="128"/>
      <c r="T63" s="129">
        <v>0</v>
      </c>
      <c r="U63" s="129">
        <v>0</v>
      </c>
      <c r="V63" s="129">
        <v>0</v>
      </c>
      <c r="W63" s="129">
        <v>0</v>
      </c>
      <c r="X63" s="129">
        <v>0</v>
      </c>
      <c r="Y63" s="130">
        <v>1</v>
      </c>
    </row>
  </sheetData>
  <mergeCells count="6">
    <mergeCell ref="T35:Y35"/>
    <mergeCell ref="C2:I2"/>
    <mergeCell ref="AH2:BH2"/>
    <mergeCell ref="C3:I3"/>
    <mergeCell ref="L3:Q3"/>
    <mergeCell ref="T3:Y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D582-76E8-BB41-B2A5-F6E934A9B8A3}">
  <dimension ref="A1:AB34"/>
  <sheetViews>
    <sheetView workbookViewId="0">
      <selection activeCell="C6" sqref="C6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36" t="s">
        <v>193</v>
      </c>
      <c r="H1" s="236"/>
      <c r="I1" s="236"/>
      <c r="J1" s="236"/>
      <c r="K1" s="236"/>
      <c r="L1" s="236"/>
      <c r="M1" s="236"/>
      <c r="N1" s="147"/>
      <c r="O1" s="148" t="s">
        <v>194</v>
      </c>
      <c r="P1" s="149"/>
      <c r="Q1" s="148" t="s">
        <v>195</v>
      </c>
      <c r="R1" s="150"/>
      <c r="S1" s="236" t="s">
        <v>196</v>
      </c>
      <c r="T1" s="236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215</v>
      </c>
      <c r="AB2" s="160" cm="1">
        <f t="array" ref="AB2">MMULT(TRANSPOSE(w_c_quo),cost_quo)</f>
        <v>28610742.461703051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191</v>
      </c>
      <c r="E3" s="142" t="s">
        <v>192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208</v>
      </c>
      <c r="P3" s="61"/>
      <c r="Q3" s="142" t="s">
        <v>209</v>
      </c>
      <c r="R3" s="61"/>
      <c r="S3" s="142" t="s">
        <v>210</v>
      </c>
      <c r="T3" s="142" t="s">
        <v>211</v>
      </c>
      <c r="U3" s="60"/>
      <c r="V3" s="142" t="s">
        <v>212</v>
      </c>
      <c r="W3" s="60"/>
      <c r="X3" s="142" t="s">
        <v>213</v>
      </c>
      <c r="Y3" s="142" t="s">
        <v>214</v>
      </c>
      <c r="Z3" s="61"/>
      <c r="AA3" s="152" t="s">
        <v>216</v>
      </c>
      <c r="AB3" s="161" cm="1">
        <f t="array" ref="AB3">MMULT(TRANSPOSE(w_e_quo),qaly_quo)</f>
        <v>15290.818231828642</v>
      </c>
    </row>
    <row r="4" spans="1:28" ht="16" x14ac:dyDescent="0.2">
      <c r="A4" s="61"/>
      <c r="B4" s="143" t="s">
        <v>23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MMULT(H4:M34,costs_quo)</f>
        <v>0</v>
      </c>
      <c r="P4" s="61"/>
      <c r="Q4" s="154" cm="1">
        <f t="array" ref="Q4:Q34">MMULT(H4:M34,qalys_quo)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 t="s">
        <v>23</v>
      </c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MMULT(H4:M4,m_P_quo)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 t="s">
        <v>23</v>
      </c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MMULT(H5:M5,m_P_quo)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792970.00000000047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 t="s">
        <v>23</v>
      </c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MMULT(H6:M6,m_P_quo)</f>
        <v>778.68799999999976</v>
      </c>
      <c r="I7" s="155">
        <v>97.440000000000069</v>
      </c>
      <c r="J7" s="155">
        <v>48.103000000000023</v>
      </c>
      <c r="K7" s="155">
        <v>22.449000000000012</v>
      </c>
      <c r="L7" s="155">
        <v>41.080000000000027</v>
      </c>
      <c r="M7" s="155">
        <v>12.240000000000011</v>
      </c>
      <c r="O7" s="154">
        <v>1043602.4000000006</v>
      </c>
      <c r="Q7" s="154">
        <v>945.69596999999987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5" t="s">
        <v>23</v>
      </c>
      <c r="C8" s="145" t="s">
        <v>11</v>
      </c>
      <c r="D8" s="144">
        <f>cTreatmentRemission+nVisitsRemission*cVisit</f>
        <v>500</v>
      </c>
      <c r="E8" s="104">
        <f>uRemission</f>
        <v>0.95</v>
      </c>
      <c r="G8" s="155">
        <v>4</v>
      </c>
      <c r="H8" s="155" cm="1">
        <f t="array" ref="H8:M8">MMULT(H7:M7,m_P_quo)</f>
        <v>716.39295999999968</v>
      </c>
      <c r="I8" s="155">
        <v>108.78355000000009</v>
      </c>
      <c r="J8" s="155">
        <v>57.356010000000026</v>
      </c>
      <c r="K8" s="155">
        <v>26.226830000000014</v>
      </c>
      <c r="L8" s="155">
        <v>68.898600000000044</v>
      </c>
      <c r="M8" s="155">
        <v>22.342050000000015</v>
      </c>
      <c r="O8" s="154">
        <v>1229928.7080000008</v>
      </c>
      <c r="Q8" s="154">
        <v>927.74057989999983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5" t="s">
        <v>23</v>
      </c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MMULT(H8:M8,m_P_quo)</f>
        <v>659.08152319999965</v>
      </c>
      <c r="I9" s="155">
        <v>116.28661600000009</v>
      </c>
      <c r="J9" s="155">
        <v>64.376091700000018</v>
      </c>
      <c r="K9" s="155">
        <v>28.880746100000014</v>
      </c>
      <c r="L9" s="155">
        <v>97.230899500000078</v>
      </c>
      <c r="M9" s="155">
        <v>34.14412350000002</v>
      </c>
      <c r="O9" s="154">
        <v>1368215.2051100009</v>
      </c>
      <c r="Q9" s="154">
        <v>909.88719350799988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MMULT(H9:M9,m_P_quo)</f>
        <v>606.35500134399967</v>
      </c>
      <c r="I10" s="155">
        <v>121.4822710950001</v>
      </c>
      <c r="J10" s="155">
        <v>69.741529364000016</v>
      </c>
      <c r="K10" s="155">
        <v>30.687602037000012</v>
      </c>
      <c r="L10" s="155">
        <v>124.59313691500009</v>
      </c>
      <c r="M10" s="155">
        <v>47.140459245000031</v>
      </c>
      <c r="O10" s="154">
        <v>1470759.5808887007</v>
      </c>
      <c r="Q10" s="154">
        <v>892.18690255860986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MMULT(H10:M10,m_P_quo)</f>
        <v>557.84660123647961</v>
      </c>
      <c r="I11" s="155">
        <v>125.22761643865009</v>
      </c>
      <c r="J11" s="155">
        <v>73.884281702380008</v>
      </c>
      <c r="K11" s="155">
        <v>31.868580436540007</v>
      </c>
      <c r="L11" s="155">
        <v>150.2230400243001</v>
      </c>
      <c r="M11" s="155">
        <v>60.949880161650036</v>
      </c>
      <c r="O11" s="154">
        <v>1546793.6006988543</v>
      </c>
      <c r="Q11" s="154">
        <v>874.68932069142102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MMULT(H11:M11,m_P_quo)</f>
        <v>513.21887313756122</v>
      </c>
      <c r="I12" s="155">
        <v>128.00679883449558</v>
      </c>
      <c r="J12" s="155">
        <v>77.11484371306463</v>
      </c>
      <c r="K12" s="155">
        <v>32.595398485991808</v>
      </c>
      <c r="L12" s="155">
        <v>173.77334447079363</v>
      </c>
      <c r="M12" s="155">
        <v>75.290741358093044</v>
      </c>
      <c r="O12" s="154">
        <v>1603137.6699796652</v>
      </c>
      <c r="Q12" s="154">
        <v>857.43541585040418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MMULT(H12:M12,m_P_quo)</f>
        <v>472.16136328655631</v>
      </c>
      <c r="I13" s="155">
        <v>130.09843953203281</v>
      </c>
      <c r="J13" s="155">
        <v>79.652400721878834</v>
      </c>
      <c r="K13" s="155">
        <v>32.997114531331214</v>
      </c>
      <c r="L13" s="155">
        <v>195.13201125141143</v>
      </c>
      <c r="M13" s="155">
        <v>89.958670676789353</v>
      </c>
      <c r="O13" s="154">
        <v>1644753.8512013699</v>
      </c>
      <c r="Q13" s="154">
        <v>840.45556650739923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MMULT(H13:M13,m_P_quo)</f>
        <v>434.38845422363175</v>
      </c>
      <c r="I14" s="155">
        <v>131.66787502138425</v>
      </c>
      <c r="J14" s="155">
        <v>81.650967941198829</v>
      </c>
      <c r="K14" s="155">
        <v>33.168031006812996</v>
      </c>
      <c r="L14" s="155">
        <v>214.31729959108367</v>
      </c>
      <c r="M14" s="155">
        <v>104.80737221588839</v>
      </c>
      <c r="O14" s="154">
        <v>1675212.5383644497</v>
      </c>
      <c r="Q14" s="154">
        <v>823.77029725468321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MMULT(H14:M14,m_P_quo)</f>
        <v>399.63737788574116</v>
      </c>
      <c r="I15" s="155">
        <v>132.81781983124969</v>
      </c>
      <c r="J15" s="155">
        <v>83.21940388122519</v>
      </c>
      <c r="K15" s="155">
        <v>33.175545236822643</v>
      </c>
      <c r="L15" s="155">
        <v>231.41686699600695</v>
      </c>
      <c r="M15" s="155">
        <v>119.73298616895424</v>
      </c>
      <c r="O15" s="154">
        <v>1697069.3026671098</v>
      </c>
      <c r="Q15" s="154">
        <v>807.39205602437357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MMULT(H15:M15,m_P_quo)</f>
        <v>367.66638765488182</v>
      </c>
      <c r="I16" s="155">
        <v>133.61610867826136</v>
      </c>
      <c r="J16" s="155">
        <v>84.435792481216396</v>
      </c>
      <c r="K16" s="155">
        <v>33.067056979452516</v>
      </c>
      <c r="L16" s="155">
        <v>246.55267268066336</v>
      </c>
      <c r="M16" s="155">
        <v>134.66198152552442</v>
      </c>
      <c r="O16" s="154">
        <v>1712155.5380136063</v>
      </c>
      <c r="Q16" s="154">
        <v>791.32715551264846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MMULT(H16:M16,m_P_quo)</f>
        <v>338.25307664249124</v>
      </c>
      <c r="I17" s="155">
        <v>134.11084691574115</v>
      </c>
      <c r="J17" s="155">
        <v>85.357400592659417</v>
      </c>
      <c r="K17" s="155">
        <v>32.875561238457536</v>
      </c>
      <c r="L17" s="155">
        <v>259.86095744437245</v>
      </c>
      <c r="M17" s="155">
        <v>149.54215716627806</v>
      </c>
      <c r="O17" s="154">
        <v>1721794.1387867345</v>
      </c>
      <c r="Q17" s="154">
        <v>775.5774879671302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MMULT(H17:M17,m_P_quo)</f>
        <v>311.19283051109193</v>
      </c>
      <c r="I18" s="155">
        <v>134.33867010142654</v>
      </c>
      <c r="J18" s="155">
        <v>86.027412514161085</v>
      </c>
      <c r="K18" s="155">
        <v>32.623921474552589</v>
      </c>
      <c r="L18" s="155">
        <v>271.48100567518372</v>
      </c>
      <c r="M18" s="155">
        <v>164.33615972358396</v>
      </c>
      <c r="O18" s="154">
        <v>1726954.7233114541</v>
      </c>
      <c r="Q18" s="154">
        <v>760.14189020766503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MMULT(H18:M18,m_P_quo)</f>
        <v>286.29740407020455</v>
      </c>
      <c r="I19" s="155">
        <v>134.32924828470831</v>
      </c>
      <c r="J19" s="155">
        <v>86.479417486347955</v>
      </c>
      <c r="K19" s="155">
        <v>32.328000919511382</v>
      </c>
      <c r="L19" s="155">
        <v>281.54900485209498</v>
      </c>
      <c r="M19" s="155">
        <v>179.01692438713263</v>
      </c>
      <c r="O19" s="154">
        <v>1728362.7269159502</v>
      </c>
      <c r="Q19" s="154">
        <v>745.01716391656919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MMULT(H19:M19,m_P_quo)</f>
        <v>263.39361174458816</v>
      </c>
      <c r="I20" s="155">
        <v>134.10775294809756</v>
      </c>
      <c r="J20" s="155">
        <v>86.740373690264008</v>
      </c>
      <c r="K20" s="155">
        <v>31.998887123409929</v>
      </c>
      <c r="L20" s="155">
        <v>290.19484969272742</v>
      </c>
      <c r="M20" s="155">
        <v>193.56452480091275</v>
      </c>
      <c r="O20" s="154">
        <v>1726574.7013963312</v>
      </c>
      <c r="Q20" s="154">
        <v>730.19880623152005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MMULT(H20:M20,m_P_quo)</f>
        <v>242.32212280502108</v>
      </c>
      <c r="I21" s="155">
        <v>133.69622365727878</v>
      </c>
      <c r="J21" s="155">
        <v>86.832558584666785</v>
      </c>
      <c r="K21" s="155">
        <v>31.64443573269045</v>
      </c>
      <c r="L21" s="155">
        <v>297.54063521389548</v>
      </c>
      <c r="M21" s="155">
        <v>207.96402400644723</v>
      </c>
      <c r="O21" s="154">
        <v>1722029.6062666131</v>
      </c>
      <c r="Q21" s="154">
        <v>715.6815165355091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MMULT(H21:M21,m_P_quo)</f>
        <v>222.93635298061938</v>
      </c>
      <c r="I22" s="155">
        <v>133.11434296810518</v>
      </c>
      <c r="J22" s="155">
        <v>86.774853519957659</v>
      </c>
      <c r="K22" s="155">
        <v>31.270322882095456</v>
      </c>
      <c r="L22" s="155">
        <v>303.70010756306419</v>
      </c>
      <c r="M22" s="155">
        <v>222.20402008615793</v>
      </c>
      <c r="O22" s="154">
        <v>1715083.4387388104</v>
      </c>
      <c r="Q22" s="154">
        <v>701.45953921418732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MMULT(H22:M22,m_P_quo)</f>
        <v>205.1014447421698</v>
      </c>
      <c r="I23" s="155">
        <v>132.37989401060364</v>
      </c>
      <c r="J23" s="155">
        <v>86.58359499065547</v>
      </c>
      <c r="K23" s="155">
        <v>30.880752998847569</v>
      </c>
      <c r="L23" s="155">
        <v>308.77864787462238</v>
      </c>
      <c r="M23" s="155">
        <v>236.27566538310089</v>
      </c>
      <c r="O23" s="154">
        <v>1706032.5078602601</v>
      </c>
      <c r="Q23" s="154">
        <v>687.52689047534273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MMULT(H23:M23,m_P_quo)</f>
        <v>188.6933291627962</v>
      </c>
      <c r="I24" s="155">
        <v>131.50904788099587</v>
      </c>
      <c r="J24" s="155">
        <v>86.273145333970533</v>
      </c>
      <c r="K24" s="155">
        <v>30.478930195443805</v>
      </c>
      <c r="L24" s="155">
        <v>312.87354319421104</v>
      </c>
      <c r="M24" s="155">
        <v>250.17200423258228</v>
      </c>
      <c r="O24" s="154">
        <v>1695129.0751455831</v>
      </c>
      <c r="Q24" s="154">
        <v>673.87750539005185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MMULT(H24:M24,m_P_quo)</f>
        <v>173.59786282977248</v>
      </c>
      <c r="I25" s="155">
        <v>130.51655916690677</v>
      </c>
      <c r="J25" s="155">
        <v>85.856282241220555</v>
      </c>
      <c r="K25" s="155">
        <v>30.067370189445448</v>
      </c>
      <c r="L25" s="155">
        <v>316.07440275212247</v>
      </c>
      <c r="M25" s="155">
        <v>263.88752282053201</v>
      </c>
      <c r="O25" s="154">
        <v>1682591.9165750344</v>
      </c>
      <c r="Q25" s="154">
        <v>660.50533117063378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MMULT(H25:M25,m_P_quo)</f>
        <v>159.71003380339067</v>
      </c>
      <c r="I26" s="155">
        <v>129.41591098725132</v>
      </c>
      <c r="J26" s="155">
        <v>85.344471165096849</v>
      </c>
      <c r="K26" s="155">
        <v>29.648106059203535</v>
      </c>
      <c r="L26" s="155">
        <v>318.46363857927486</v>
      </c>
      <c r="M26" s="155">
        <v>277.41783940578244</v>
      </c>
      <c r="O26" s="154">
        <v>1668613.529831459</v>
      </c>
      <c r="Q26" s="154">
        <v>647.40438483101502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MMULT(H26:M26,m_P_quo)</f>
        <v>146.93323109911941</v>
      </c>
      <c r="I27" s="155">
        <v>128.21943124806523</v>
      </c>
      <c r="J27" s="155">
        <v>84.748061705774958</v>
      </c>
      <c r="K27" s="155">
        <v>29.222824042400202</v>
      </c>
      <c r="L27" s="155">
        <v>320.11696477221585</v>
      </c>
      <c r="M27" s="155">
        <v>290.75948713242406</v>
      </c>
      <c r="O27" s="154">
        <v>1653365.1344482768</v>
      </c>
      <c r="Q27" s="154">
        <v>634.56878759738618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MMULT(H27:M27,m_P_quo)</f>
        <v>135.17857261118985</v>
      </c>
      <c r="I28" s="155">
        <v>126.93839142870871</v>
      </c>
      <c r="J28" s="155">
        <v>84.076434210984672</v>
      </c>
      <c r="K28" s="155">
        <v>28.792953588057539</v>
      </c>
      <c r="L28" s="155">
        <v>321.10389020955472</v>
      </c>
      <c r="M28" s="155">
        <v>303.90975795150416</v>
      </c>
      <c r="O28" s="154">
        <v>1637000.2209527357</v>
      </c>
      <c r="Q28" s="154">
        <v>621.99278434903033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MMULT(H28:M28,m_P_quo)</f>
        <v>124.36428680229466</v>
      </c>
      <c r="I29" s="155">
        <v>125.58309379072487</v>
      </c>
      <c r="J29" s="155">
        <v>83.338113311566076</v>
      </c>
      <c r="K29" s="155">
        <v>28.359727651788369</v>
      </c>
      <c r="L29" s="155">
        <v>321.48819137749558</v>
      </c>
      <c r="M29" s="155">
        <v>316.86658706613008</v>
      </c>
      <c r="O29" s="154">
        <v>1619657.1431186735</v>
      </c>
      <c r="Q29" s="154">
        <v>609.67075355260909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MMULT(H29:M29,m_P_quo)</f>
        <v>114.41514385811108</v>
      </c>
      <c r="I30" s="155">
        <v>124.16295010741376</v>
      </c>
      <c r="J30" s="155">
        <v>82.540859053522212</v>
      </c>
      <c r="K30" s="155">
        <v>27.924223690652042</v>
      </c>
      <c r="L30" s="155">
        <v>321.32835878086564</v>
      </c>
      <c r="M30" s="155">
        <v>329.62846450943482</v>
      </c>
      <c r="O30" s="154">
        <v>1601461.0743707821</v>
      </c>
      <c r="Q30" s="154">
        <v>597.59721125109309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MMULT(H30:M30,m_P_quo)</f>
        <v>105.26193234946219</v>
      </c>
      <c r="I31" s="155">
        <v>122.68655359348718</v>
      </c>
      <c r="J31" s="155">
        <v>81.691742443592801</v>
      </c>
      <c r="K31" s="155">
        <v>27.487392141935466</v>
      </c>
      <c r="L31" s="155">
        <v>320.67801430129373</v>
      </c>
      <c r="M31" s="155">
        <v>342.19436517022825</v>
      </c>
      <c r="O31" s="154">
        <v>1582525.5361869973</v>
      </c>
      <c r="Q31" s="154">
        <v>585.76681140400751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MMULT(H31:M31,m_P_quo)</f>
        <v>96.840977761505201</v>
      </c>
      <c r="I32" s="155">
        <v>121.1617450055488</v>
      </c>
      <c r="J32" s="155">
        <v>80.797209794655089</v>
      </c>
      <c r="K32" s="155">
        <v>27.050076761001279</v>
      </c>
      <c r="L32" s="155">
        <v>319.58629904319002</v>
      </c>
      <c r="M32" s="155">
        <v>354.5636916340992</v>
      </c>
      <c r="O32" s="154">
        <v>1562953.6329072195</v>
      </c>
      <c r="Q32" s="154">
        <v>574.17434404558423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MMULT(H32:M32,m_P_quo)</f>
        <v>89.09369954058478</v>
      </c>
      <c r="I33" s="155">
        <v>119.59567353573375</v>
      </c>
      <c r="J33" s="155">
        <v>79.863138722787596</v>
      </c>
      <c r="K33" s="155">
        <v>26.613029627313956</v>
      </c>
      <c r="L33" s="155">
        <v>318.09823239702973</v>
      </c>
      <c r="M33" s="155">
        <v>366.73622617654979</v>
      </c>
      <c r="O33" s="154">
        <v>1542839.0800134435</v>
      </c>
      <c r="Q33" s="154">
        <v>562.81473218822089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MMULT(H33:M33,m_P_quo)</f>
        <v>81.966203577337993</v>
      </c>
      <c r="I34" s="155">
        <v>117.99485295109855</v>
      </c>
      <c r="J34" s="155">
        <v>78.894887679274802</v>
      </c>
      <c r="K34" s="155">
        <v>26.176922617480965</v>
      </c>
      <c r="L34" s="155">
        <v>316.25504366596624</v>
      </c>
      <c r="M34" s="155">
        <v>378.71208950884107</v>
      </c>
      <c r="O34" s="154">
        <v>1522267.0825710776</v>
      </c>
      <c r="Q34" s="154">
        <v>551.68302805155088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honeticPr fontId="6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0854-B147-0945-8887-E46A017C9F6A}">
  <dimension ref="A1:AB34"/>
  <sheetViews>
    <sheetView topLeftCell="K1" workbookViewId="0">
      <selection activeCell="E5" sqref="E5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36" t="s">
        <v>193</v>
      </c>
      <c r="H1" s="236"/>
      <c r="I1" s="236"/>
      <c r="J1" s="236"/>
      <c r="K1" s="236"/>
      <c r="L1" s="236"/>
      <c r="M1" s="236"/>
      <c r="N1" s="147"/>
      <c r="O1" s="148" t="s">
        <v>194</v>
      </c>
      <c r="P1" s="149"/>
      <c r="Q1" s="148" t="s">
        <v>195</v>
      </c>
      <c r="R1" s="150"/>
      <c r="S1" s="236" t="s">
        <v>196</v>
      </c>
      <c r="T1" s="236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200</v>
      </c>
      <c r="AB2" s="160" cm="1">
        <f t="array" ref="AB2">MMULT(TRANSPOSE(w_c_trtA),cost_trtA)</f>
        <v>77860259.701636553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189</v>
      </c>
      <c r="E3" s="142" t="s">
        <v>190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201</v>
      </c>
      <c r="P3" s="61"/>
      <c r="Q3" s="142" t="s">
        <v>202</v>
      </c>
      <c r="R3" s="61"/>
      <c r="S3" s="142" t="s">
        <v>203</v>
      </c>
      <c r="T3" s="142" t="s">
        <v>204</v>
      </c>
      <c r="U3" s="60"/>
      <c r="V3" s="142" t="s">
        <v>212</v>
      </c>
      <c r="W3" s="60"/>
      <c r="X3" s="142" t="s">
        <v>205</v>
      </c>
      <c r="Y3" s="142" t="s">
        <v>206</v>
      </c>
      <c r="Z3" s="61"/>
      <c r="AA3" s="152" t="s">
        <v>207</v>
      </c>
      <c r="AB3" s="161" cm="1">
        <f t="array" ref="AB3">MMULT(TRANSPOSE(w_e_trtA),qaly_trtA)</f>
        <v>15945.958774151313</v>
      </c>
    </row>
    <row r="4" spans="1:28" ht="16" x14ac:dyDescent="0.2">
      <c r="A4" s="61"/>
      <c r="B4" s="143" t="s">
        <v>241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MMULT(H4:M34,costs_trtA)</f>
        <v>0</v>
      </c>
      <c r="P4" s="61"/>
      <c r="Q4" s="154" cm="1">
        <f t="array" ref="Q4:Q34">MMULT(H4:M34,qalys_trtA)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/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MMULT(H4:M4,m_P_trtA)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/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MMULT(H5:M5,m_P_trtA)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951370.00000000058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/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MMULT(H6:M6,m_P_trtA)</f>
        <v>778.68799999999976</v>
      </c>
      <c r="I7" s="155">
        <v>96.120000000000061</v>
      </c>
      <c r="J7" s="155">
        <v>47.443000000000019</v>
      </c>
      <c r="K7" s="155">
        <v>22.449000000000012</v>
      </c>
      <c r="L7" s="155">
        <v>43.060000000000031</v>
      </c>
      <c r="M7" s="155">
        <v>12.240000000000011</v>
      </c>
      <c r="O7" s="154">
        <v>1451104.4000000008</v>
      </c>
      <c r="Q7" s="154">
        <v>945.94676999999979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3"/>
      <c r="C8" s="145" t="s">
        <v>11</v>
      </c>
      <c r="D8" s="144">
        <f>nVisitsRemission*cVisit+cTrtA</f>
        <v>10100</v>
      </c>
      <c r="E8" s="104">
        <f>uRemission</f>
        <v>0.95</v>
      </c>
      <c r="G8" s="155">
        <v>4</v>
      </c>
      <c r="H8" s="155" cm="1">
        <f t="array" ref="H8:M8">MMULT(H7:M7,m_P_trtA)</f>
        <v>716.39295999999968</v>
      </c>
      <c r="I8" s="155">
        <v>104.64575000000008</v>
      </c>
      <c r="J8" s="155">
        <v>55.204610000000017</v>
      </c>
      <c r="K8" s="155">
        <v>26.12783000000001</v>
      </c>
      <c r="L8" s="155">
        <v>75.286800000000056</v>
      </c>
      <c r="M8" s="155">
        <v>22.342050000000015</v>
      </c>
      <c r="O8" s="154">
        <v>1931468.7280000011</v>
      </c>
      <c r="Q8" s="154">
        <v>928.60497189999978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3"/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MMULT(H8:M8,m_P_trtA)</f>
        <v>659.08152319999965</v>
      </c>
      <c r="I9" s="155">
        <v>108.10535200000007</v>
      </c>
      <c r="J9" s="155">
        <v>59.974459700000018</v>
      </c>
      <c r="K9" s="155">
        <v>28.508536100000008</v>
      </c>
      <c r="L9" s="155">
        <v>110.23055550000007</v>
      </c>
      <c r="M9" s="155">
        <v>34.09957350000002</v>
      </c>
      <c r="O9" s="154">
        <v>2379511.3211100008</v>
      </c>
      <c r="Q9" s="154">
        <v>911.77820006799971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MMULT(H9:M9,m_P_trtA)</f>
        <v>606.35500134399967</v>
      </c>
      <c r="I10" s="155">
        <v>108.42588905500006</v>
      </c>
      <c r="J10" s="155">
        <v>62.504573844000014</v>
      </c>
      <c r="K10" s="155">
        <v>29.841252237000006</v>
      </c>
      <c r="L10" s="155">
        <v>145.94486877500009</v>
      </c>
      <c r="M10" s="155">
        <v>46.928414745000026</v>
      </c>
      <c r="O10" s="154">
        <v>2789874.5806907015</v>
      </c>
      <c r="Q10" s="154">
        <v>895.53850728320981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MMULT(H10:M10,m_P_trtA)</f>
        <v>557.84660123647961</v>
      </c>
      <c r="I11" s="155">
        <v>106.83870402065006</v>
      </c>
      <c r="J11" s="155">
        <v>63.423944538380013</v>
      </c>
      <c r="K11" s="155">
        <v>30.359862208540008</v>
      </c>
      <c r="L11" s="155">
        <v>181.17390974430009</v>
      </c>
      <c r="M11" s="155">
        <v>60.356978251650027</v>
      </c>
      <c r="O11" s="154">
        <v>3161799.6187649351</v>
      </c>
      <c r="Q11" s="154">
        <v>879.94042604906099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MMULT(H11:M11,m_P_trtA)</f>
        <v>513.21887313756122</v>
      </c>
      <c r="I12" s="155">
        <v>104.13216309705155</v>
      </c>
      <c r="J12" s="155">
        <v>63.224901357692609</v>
      </c>
      <c r="K12" s="155">
        <v>30.271988797391806</v>
      </c>
      <c r="L12" s="155">
        <v>215.13315736480959</v>
      </c>
      <c r="M12" s="155">
        <v>74.018916245493031</v>
      </c>
      <c r="O12" s="154">
        <v>3496985.7802147362</v>
      </c>
      <c r="Q12" s="154">
        <v>865.0192720905585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MMULT(H12:M12,m_P_trtA)</f>
        <v>472.16136328655631</v>
      </c>
      <c r="I13" s="155">
        <v>100.81075788514242</v>
      </c>
      <c r="J13" s="155">
        <v>62.277465600589636</v>
      </c>
      <c r="K13" s="155">
        <v>29.751918333725413</v>
      </c>
      <c r="L13" s="155">
        <v>247.35718368966673</v>
      </c>
      <c r="M13" s="155">
        <v>87.641311204319351</v>
      </c>
      <c r="O13" s="154">
        <v>3798247.0255485368</v>
      </c>
      <c r="Q13" s="154">
        <v>850.7918459072248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MMULT(H13:M13,m_P_trtA)</f>
        <v>434.38845422363175</v>
      </c>
      <c r="I14" s="155">
        <v>97.19607774349322</v>
      </c>
      <c r="J14" s="155">
        <v>60.851950168182078</v>
      </c>
      <c r="K14" s="155">
        <v>28.939192639816717</v>
      </c>
      <c r="L14" s="155">
        <v>277.59465077038027</v>
      </c>
      <c r="M14" s="155">
        <v>101.02967445449579</v>
      </c>
      <c r="O14" s="154">
        <v>4068743.007625089</v>
      </c>
      <c r="Q14" s="154">
        <v>837.25891483951034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MMULT(H14:M14,m_P_trtA)</f>
        <v>399.63737788574116</v>
      </c>
      <c r="I15" s="155">
        <v>93.491363768268911</v>
      </c>
      <c r="J15" s="155">
        <v>59.141453099425846</v>
      </c>
      <c r="K15" s="155">
        <v>27.941273387371993</v>
      </c>
      <c r="L15" s="155">
        <v>305.73622071677858</v>
      </c>
      <c r="M15" s="155">
        <v>114.05231114241332</v>
      </c>
      <c r="O15" s="154">
        <v>4311578.0161715895</v>
      </c>
      <c r="Q15" s="154">
        <v>824.40847780280376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MMULT(H15:M15,m_P_trtA)</f>
        <v>367.66638765488182</v>
      </c>
      <c r="I16" s="155">
        <v>89.82305241296875</v>
      </c>
      <c r="J16" s="155">
        <v>57.281181670733609</v>
      </c>
      <c r="K16" s="155">
        <v>26.838228437457289</v>
      </c>
      <c r="L16" s="155">
        <v>331.76526565722759</v>
      </c>
      <c r="M16" s="155">
        <v>126.62588416673071</v>
      </c>
      <c r="O16" s="154">
        <v>4529617.4747770391</v>
      </c>
      <c r="Q16" s="154">
        <v>812.21907737636593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MMULT(H16:M16,m_P_trtA)</f>
        <v>338.25307664249124</v>
      </c>
      <c r="I17" s="155">
        <v>86.267667847855023</v>
      </c>
      <c r="J17" s="155">
        <v>55.363906075279814</v>
      </c>
      <c r="K17" s="155">
        <v>25.687955345887509</v>
      </c>
      <c r="L17" s="155">
        <v>355.72430712489961</v>
      </c>
      <c r="M17" s="155">
        <v>138.70308696358649</v>
      </c>
      <c r="O17" s="154">
        <v>4725424.4582846593</v>
      </c>
      <c r="Q17" s="154">
        <v>800.66275335522641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MMULT(H17:M17,m_P_trtA)</f>
        <v>311.19283051109193</v>
      </c>
      <c r="I18" s="155">
        <v>82.869319379492325</v>
      </c>
      <c r="J18" s="155">
        <v>53.451812801346591</v>
      </c>
      <c r="K18" s="155">
        <v>24.531094350660641</v>
      </c>
      <c r="L18" s="155">
        <v>377.69227608817238</v>
      </c>
      <c r="M18" s="155">
        <v>150.26266686923586</v>
      </c>
      <c r="O18" s="154">
        <v>4901257.3406027509</v>
      </c>
      <c r="Q18" s="154">
        <v>789.70747490400288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MMULT(H18:M18,m_P_trtA)</f>
        <v>286.29740407020455</v>
      </c>
      <c r="I19" s="155">
        <v>79.6511352840554</v>
      </c>
      <c r="J19" s="155">
        <v>51.585353707393786</v>
      </c>
      <c r="K19" s="155">
        <v>23.395247400643228</v>
      </c>
      <c r="L19" s="155">
        <v>397.76920021066962</v>
      </c>
      <c r="M19" s="155">
        <v>161.30165932703315</v>
      </c>
      <c r="O19" s="154">
        <v>5059095.0249704104</v>
      </c>
      <c r="Q19" s="154">
        <v>779.31903351679057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MMULT(H19:M19,m_P_trtA)</f>
        <v>263.39361174458816</v>
      </c>
      <c r="I20" s="155">
        <v>76.62275982772934</v>
      </c>
      <c r="J20" s="155">
        <v>49.789728206384758</v>
      </c>
      <c r="K20" s="155">
        <v>22.298400797132729</v>
      </c>
      <c r="L20" s="155">
        <v>416.06597876684214</v>
      </c>
      <c r="M20" s="155">
        <v>171.8295206573226</v>
      </c>
      <c r="O20" s="154">
        <v>5200671.7428489225</v>
      </c>
      <c r="Q20" s="154">
        <v>769.46245153499103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MMULT(H20:M20,m_P_trtA)</f>
        <v>242.32212280502108</v>
      </c>
      <c r="I21" s="155">
        <v>73.785280460909576</v>
      </c>
      <c r="J21" s="155">
        <v>48.079564969020609</v>
      </c>
      <c r="K21" s="155">
        <v>21.251595746969961</v>
      </c>
      <c r="L21" s="155">
        <v>432.69763500204613</v>
      </c>
      <c r="M21" s="155">
        <v>181.86380101603234</v>
      </c>
      <c r="O21" s="154">
        <v>5327512.4513647724</v>
      </c>
      <c r="Q21" s="154">
        <v>760.10298845947909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MMULT(H21:M21,m_P_trtA)</f>
        <v>222.93635298061938</v>
      </c>
      <c r="I22" s="155">
        <v>71.134469388334253</v>
      </c>
      <c r="J22" s="155">
        <v>46.462265620972708</v>
      </c>
      <c r="K22" s="155">
        <v>20.260953846888285</v>
      </c>
      <c r="L22" s="155">
        <v>447.77893906101627</v>
      </c>
      <c r="M22" s="155">
        <v>191.42701910216883</v>
      </c>
      <c r="O22" s="154">
        <v>5440964.8772564111</v>
      </c>
      <c r="Q22" s="154">
        <v>751.20683012608936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MMULT(H22:M22,m_P_trtA)</f>
        <v>205.1014447421698</v>
      </c>
      <c r="I23" s="155">
        <v>68.662914813717208</v>
      </c>
      <c r="J23" s="155">
        <v>44.940370453984016</v>
      </c>
      <c r="K23" s="155">
        <v>19.329180296396245</v>
      </c>
      <c r="L23" s="155">
        <v>461.42164136046387</v>
      </c>
      <c r="M23" s="155">
        <v>200.54444833326855</v>
      </c>
      <c r="O23" s="154">
        <v>5542226.89158771</v>
      </c>
      <c r="Q23" s="154">
        <v>742.74153699971293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MMULT(H23:M23,m_P_trtA)</f>
        <v>188.6933291627962</v>
      </c>
      <c r="I24" s="155">
        <v>66.36141821593317</v>
      </c>
      <c r="J24" s="155">
        <v>43.513218077029983</v>
      </c>
      <c r="K24" s="155">
        <v>18.456660163717423</v>
      </c>
      <c r="L24" s="155">
        <v>473.73279491387603</v>
      </c>
      <c r="M24" s="155">
        <v>209.24257946664687</v>
      </c>
      <c r="O24" s="154">
        <v>5632369.1837285012</v>
      </c>
      <c r="Q24" s="154">
        <v>734.67631485462914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MMULT(H24:M24,m_P_trtA)</f>
        <v>173.59786282977248</v>
      </c>
      <c r="I25" s="155">
        <v>64.219905100625411</v>
      </c>
      <c r="J25" s="155">
        <v>42.178100208391861</v>
      </c>
      <c r="K25" s="155">
        <v>17.642246085041172</v>
      </c>
      <c r="L25" s="155">
        <v>484.81380923584902</v>
      </c>
      <c r="M25" s="155">
        <v>217.54807654031973</v>
      </c>
      <c r="O25" s="154">
        <v>5712353.7521164529</v>
      </c>
      <c r="Q25" s="154">
        <v>726.98215783095247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MMULT(H25:M25,m_P_trtA)</f>
        <v>159.71003380339067</v>
      </c>
      <c r="I26" s="155">
        <v>62.228012652031737</v>
      </c>
      <c r="J26" s="155">
        <v>40.93105828830366</v>
      </c>
      <c r="K26" s="155">
        <v>16.883816702077091</v>
      </c>
      <c r="L26" s="155">
        <v>494.75999127560829</v>
      </c>
      <c r="M26" s="155">
        <v>225.48708727858826</v>
      </c>
      <c r="O26" s="154">
        <v>5783048.899290869</v>
      </c>
      <c r="Q26" s="154">
        <v>719.6319020464498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MMULT(H26:M26,m_P_trtA)</f>
        <v>146.93323109911941</v>
      </c>
      <c r="I27" s="155">
        <v>60.375462653917523</v>
      </c>
      <c r="J27" s="155">
        <v>39.767427662113121</v>
      </c>
      <c r="K27" s="155">
        <v>16.178667432318001</v>
      </c>
      <c r="L27" s="155">
        <v>503.66040635800869</v>
      </c>
      <c r="M27" s="155">
        <v>233.08480479452297</v>
      </c>
      <c r="O27" s="154">
        <v>5845241.4080591472</v>
      </c>
      <c r="Q27" s="154">
        <v>712.60021819040981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MMULT(H27:M27,m_P_trtA)</f>
        <v>135.17857261118985</v>
      </c>
      <c r="I28" s="155">
        <v>58.652291790268208</v>
      </c>
      <c r="J28" s="155">
        <v>38.682204919838</v>
      </c>
      <c r="K28" s="155">
        <v>15.523780176467163</v>
      </c>
      <c r="L28" s="155">
        <v>511.59794536317042</v>
      </c>
      <c r="M28" s="155">
        <v>240.36520513906606</v>
      </c>
      <c r="O28" s="154">
        <v>5899646.4905493222</v>
      </c>
      <c r="Q28" s="154">
        <v>705.86356383825091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MMULT(H28:M28,m_P_trtA)</f>
        <v>124.36428680229466</v>
      </c>
      <c r="I29" s="155">
        <v>57.048987447489154</v>
      </c>
      <c r="J29" s="155">
        <v>37.670292045608484</v>
      </c>
      <c r="K29" s="155">
        <v>14.916006552321182</v>
      </c>
      <c r="L29" s="155">
        <v>518.64952093380998</v>
      </c>
      <c r="M29" s="155">
        <v>247.3509062184763</v>
      </c>
      <c r="O29" s="154">
        <v>5946915.996089696</v>
      </c>
      <c r="Q29" s="154">
        <v>699.40011035442228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MMULT(H29:M29,m_P_trtA)</f>
        <v>114.41514385811108</v>
      </c>
      <c r="I30" s="155">
        <v>55.556561201939324</v>
      </c>
      <c r="J30" s="155">
        <v>36.72665524511406</v>
      </c>
      <c r="K30" s="155">
        <v>14.352189951024812</v>
      </c>
      <c r="L30" s="155">
        <v>524.88634057678962</v>
      </c>
      <c r="M30" s="155">
        <v>254.06310916702083</v>
      </c>
      <c r="O30" s="154">
        <v>5987645.2623772752</v>
      </c>
      <c r="Q30" s="154">
        <v>693.18965487016771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MMULT(H30:M30,m_P_trtA)</f>
        <v>105.26193234946219</v>
      </c>
      <c r="I31" s="155">
        <v>54.16658154795762</v>
      </c>
      <c r="J31" s="155">
        <v>35.846425047743729</v>
      </c>
      <c r="K31" s="155">
        <v>13.829244700860627</v>
      </c>
      <c r="L31" s="155">
        <v>530.37422170899356</v>
      </c>
      <c r="M31" s="155">
        <v>260.52159464498197</v>
      </c>
      <c r="O31" s="154">
        <v>6022378.9071412887</v>
      </c>
      <c r="Q31" s="154">
        <v>687.21352461141669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MMULT(H31:M31,m_P_trtA)</f>
        <v>96.840977761505201</v>
      </c>
      <c r="I32" s="155">
        <v>52.871180310212644</v>
      </c>
      <c r="J32" s="155">
        <v>35.024956282564204</v>
      </c>
      <c r="K32" s="155">
        <v>13.344205431086497</v>
      </c>
      <c r="L32" s="155">
        <v>535.17392545426196</v>
      </c>
      <c r="M32" s="155">
        <v>266.74475476036923</v>
      </c>
      <c r="O32" s="154">
        <v>6051615.7868200559</v>
      </c>
      <c r="Q32" s="154">
        <v>681.45447853185294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MMULT(H32:M32,m_P_trtA)</f>
        <v>89.09369954058478</v>
      </c>
      <c r="I33" s="155">
        <v>51.663042412926949</v>
      </c>
      <c r="J33" s="155">
        <v>34.257860881886835</v>
      </c>
      <c r="K33" s="155">
        <v>12.894255935542931</v>
      </c>
      <c r="L33" s="155">
        <v>539.34149402470007</v>
      </c>
      <c r="M33" s="155">
        <v>272.74964720435815</v>
      </c>
      <c r="O33" s="154">
        <v>6075813.2935643345</v>
      </c>
      <c r="Q33" s="154">
        <v>675.89660955036061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MMULT(H33:M33,m_P_trtA)</f>
        <v>81.966203577337993</v>
      </c>
      <c r="I34" s="155">
        <v>50.535385470020117</v>
      </c>
      <c r="J34" s="155">
        <v>33.541022498260645</v>
      </c>
      <c r="K34" s="155">
        <v>12.47674409546034</v>
      </c>
      <c r="L34" s="155">
        <v>542.92858198356817</v>
      </c>
      <c r="M34" s="155">
        <v>278.55206237535248</v>
      </c>
      <c r="O34" s="154">
        <v>6095391.1197882267</v>
      </c>
      <c r="Q34" s="154">
        <v>670.52524952347619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3B37-8384-1746-A5BC-4E8C7830136D}">
  <dimension ref="A1:AB34"/>
  <sheetViews>
    <sheetView workbookViewId="0">
      <selection activeCell="E8" sqref="E8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36" t="s">
        <v>193</v>
      </c>
      <c r="H1" s="236"/>
      <c r="I1" s="236"/>
      <c r="J1" s="236"/>
      <c r="K1" s="236"/>
      <c r="L1" s="236"/>
      <c r="M1" s="236"/>
      <c r="N1" s="147"/>
      <c r="O1" s="148" t="s">
        <v>194</v>
      </c>
      <c r="P1" s="149"/>
      <c r="Q1" s="148" t="s">
        <v>195</v>
      </c>
      <c r="R1" s="150"/>
      <c r="S1" s="236" t="s">
        <v>196</v>
      </c>
      <c r="T1" s="236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225</v>
      </c>
      <c r="AB2" s="160" cm="1">
        <f t="array" ref="AB2">MMULT(TRANSPOSE(w_c_trtB),cost_trtB)</f>
        <v>58629019.240626238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217</v>
      </c>
      <c r="E3" s="142" t="s">
        <v>218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219</v>
      </c>
      <c r="P3" s="61"/>
      <c r="Q3" s="142" t="s">
        <v>220</v>
      </c>
      <c r="R3" s="61"/>
      <c r="S3" s="142" t="s">
        <v>224</v>
      </c>
      <c r="T3" s="142" t="s">
        <v>223</v>
      </c>
      <c r="U3" s="60"/>
      <c r="V3" s="142" t="s">
        <v>212</v>
      </c>
      <c r="W3" s="60"/>
      <c r="X3" s="142" t="s">
        <v>221</v>
      </c>
      <c r="Y3" s="142" t="s">
        <v>222</v>
      </c>
      <c r="Z3" s="61"/>
      <c r="AA3" s="152" t="s">
        <v>226</v>
      </c>
      <c r="AB3" s="161" cm="1">
        <f t="array" ref="AB3">MMULT(TRANSPOSE(w_e_trtB),qaly_trtB)</f>
        <v>15525.699710957386</v>
      </c>
    </row>
    <row r="4" spans="1:28" ht="16" x14ac:dyDescent="0.2">
      <c r="A4" s="61"/>
      <c r="B4" s="143" t="s">
        <v>23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MMULT(H4:M34,costs_trtB)</f>
        <v>0</v>
      </c>
      <c r="P4" s="61"/>
      <c r="Q4" s="154" cm="1">
        <f t="array" ref="Q4:Q34">MMULT(H4:M34,qalys_trtB)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 t="s">
        <v>23</v>
      </c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MMULT(H4:M4,m_P_trtB)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 t="s">
        <v>23</v>
      </c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MMULT(H5:M5,m_P_trtB)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910120.00000000058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 t="s">
        <v>23</v>
      </c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MMULT(H6:M6,m_P_trtB)</f>
        <v>778.68799999999976</v>
      </c>
      <c r="I7" s="155">
        <v>97.11000000000007</v>
      </c>
      <c r="J7" s="155">
        <v>47.773000000000017</v>
      </c>
      <c r="K7" s="155">
        <v>22.449000000000012</v>
      </c>
      <c r="L7" s="155">
        <v>41.74000000000003</v>
      </c>
      <c r="M7" s="155">
        <v>12.240000000000011</v>
      </c>
      <c r="O7" s="154">
        <v>1337382.4000000008</v>
      </c>
      <c r="Q7" s="154">
        <v>945.79826999999989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5" t="s">
        <v>23</v>
      </c>
      <c r="C8" s="145" t="s">
        <v>11</v>
      </c>
      <c r="D8" s="144">
        <f>nVisitsRemission*cVisit+cTrtB</f>
        <v>7600</v>
      </c>
      <c r="E8" s="104">
        <f>uRemission</f>
        <v>0.95</v>
      </c>
      <c r="G8" s="155">
        <v>4</v>
      </c>
      <c r="H8" s="155" cm="1">
        <f t="array" ref="H8:M8">MMULT(H7:M7,m_P_trtB)</f>
        <v>716.39295999999968</v>
      </c>
      <c r="I8" s="155">
        <v>107.78375000000007</v>
      </c>
      <c r="J8" s="155">
        <v>56.323210000000017</v>
      </c>
      <c r="K8" s="155">
        <v>26.177330000000012</v>
      </c>
      <c r="L8" s="155">
        <v>70.980700000000056</v>
      </c>
      <c r="M8" s="155">
        <v>22.342050000000015</v>
      </c>
      <c r="O8" s="154">
        <v>1724748.4880000008</v>
      </c>
      <c r="Q8" s="154">
        <v>928.08764289999988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5" t="s">
        <v>23</v>
      </c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MMULT(H8:M8,m_P_trtB)</f>
        <v>659.08152319999965</v>
      </c>
      <c r="I9" s="155">
        <v>114.37370200000005</v>
      </c>
      <c r="J9" s="155">
        <v>62.338447700000017</v>
      </c>
      <c r="K9" s="155">
        <v>28.701076100000009</v>
      </c>
      <c r="L9" s="155">
        <v>101.38340250000007</v>
      </c>
      <c r="M9" s="155">
        <v>34.12184850000002</v>
      </c>
      <c r="O9" s="154">
        <v>2068213.5711600012</v>
      </c>
      <c r="Q9" s="154">
        <v>910.6372985979998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MMULT(H9:M9,m_P_trtB)</f>
        <v>606.35500134399967</v>
      </c>
      <c r="I10" s="155">
        <v>118.52457704500006</v>
      </c>
      <c r="J10" s="155">
        <v>66.498625164000018</v>
      </c>
      <c r="K10" s="155">
        <v>30.292120437000008</v>
      </c>
      <c r="L10" s="155">
        <v>131.29234326500008</v>
      </c>
      <c r="M10" s="155">
        <v>47.037332745000022</v>
      </c>
      <c r="O10" s="154">
        <v>2369028.4274052009</v>
      </c>
      <c r="Q10" s="154">
        <v>893.50354246910979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MMULT(H10:M10,m_P_trtB)</f>
        <v>557.84660123647961</v>
      </c>
      <c r="I11" s="155">
        <v>121.18704386585006</v>
      </c>
      <c r="J11" s="155">
        <v>69.332109149580006</v>
      </c>
      <c r="K11" s="155">
        <v>31.184404006540007</v>
      </c>
      <c r="L11" s="155">
        <v>159.78105479990009</v>
      </c>
      <c r="M11" s="155">
        <v>60.668786941650026</v>
      </c>
      <c r="O11" s="154">
        <v>2630904.6454933053</v>
      </c>
      <c r="Q11" s="154">
        <v>876.7353848368889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MMULT(H11:M11,m_P_trtB)</f>
        <v>513.21887313756122</v>
      </c>
      <c r="I12" s="155">
        <v>122.91299841609754</v>
      </c>
      <c r="J12" s="155">
        <v>71.227553745386601</v>
      </c>
      <c r="K12" s="155">
        <v>31.570484388071804</v>
      </c>
      <c r="L12" s="155">
        <v>186.36832156828962</v>
      </c>
      <c r="M12" s="155">
        <v>74.701768744593025</v>
      </c>
      <c r="O12" s="154">
        <v>2858333.6661548065</v>
      </c>
      <c r="Q12" s="154">
        <v>860.36915477253251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MMULT(H12:M12,m_P_trtB)</f>
        <v>472.16136328655631</v>
      </c>
      <c r="I13" s="155">
        <v>124.02523604007398</v>
      </c>
      <c r="J13" s="155">
        <v>72.461783418045215</v>
      </c>
      <c r="K13" s="155">
        <v>31.601563987219507</v>
      </c>
      <c r="L13" s="155">
        <v>210.84156654887948</v>
      </c>
      <c r="M13" s="155">
        <v>88.908486719225337</v>
      </c>
      <c r="O13" s="154">
        <v>3055717.4085490205</v>
      </c>
      <c r="Q13" s="154">
        <v>844.42748848546807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MMULT(H13:M13,m_P_trtB)</f>
        <v>434.38845422363175</v>
      </c>
      <c r="I14" s="155">
        <v>124.71488608518854</v>
      </c>
      <c r="J14" s="155">
        <v>73.228146116393006</v>
      </c>
      <c r="K14" s="155">
        <v>31.391663139182103</v>
      </c>
      <c r="L14" s="155">
        <v>233.14765992213029</v>
      </c>
      <c r="M14" s="155">
        <v>103.12919051347411</v>
      </c>
      <c r="O14" s="154">
        <v>3226995.2700115461</v>
      </c>
      <c r="Q14" s="154">
        <v>828.92081337736602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MMULT(H14:M14,m_P_trtB)</f>
        <v>399.63737788574116</v>
      </c>
      <c r="I15" s="155">
        <v>125.09731876614423</v>
      </c>
      <c r="J15" s="155">
        <v>73.660158317450311</v>
      </c>
      <c r="K15" s="155">
        <v>31.023938029286324</v>
      </c>
      <c r="L15" s="155">
        <v>253.3257680752717</v>
      </c>
      <c r="M15" s="155">
        <v>117.25543892610607</v>
      </c>
      <c r="O15" s="154">
        <v>3375540.0495629804</v>
      </c>
      <c r="Q15" s="154">
        <v>813.84982816738898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MMULT(H15:M15,m_P_trtB)</f>
        <v>367.66638765488182</v>
      </c>
      <c r="I16" s="155">
        <v>125.24419545417508</v>
      </c>
      <c r="J16" s="155">
        <v>73.849544368521904</v>
      </c>
      <c r="K16" s="155">
        <v>30.557366541118125</v>
      </c>
      <c r="L16" s="155">
        <v>271.46629494201795</v>
      </c>
      <c r="M16" s="155">
        <v>131.2162110392849</v>
      </c>
      <c r="O16" s="154">
        <v>3504182.1774933147</v>
      </c>
      <c r="Q16" s="154">
        <v>799.20808830592591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MMULT(H16:M16,m_P_trtB)</f>
        <v>338.25307664249124</v>
      </c>
      <c r="I17" s="155">
        <v>125.20182724174543</v>
      </c>
      <c r="J17" s="155">
        <v>73.859331094944736</v>
      </c>
      <c r="K17" s="155">
        <v>30.032778802386169</v>
      </c>
      <c r="L17" s="155">
        <v>287.68596023564413</v>
      </c>
      <c r="M17" s="155">
        <v>144.96702598278804</v>
      </c>
      <c r="O17" s="154">
        <v>3615283.8734766492</v>
      </c>
      <c r="Q17" s="154">
        <v>784.98427228535888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MMULT(H17:M17,m_P_trtB)</f>
        <v>311.19283051109193</v>
      </c>
      <c r="I18" s="155">
        <v>125.00168491285785</v>
      </c>
      <c r="J18" s="155">
        <v>73.733060661179849</v>
      </c>
      <c r="K18" s="155">
        <v>29.477819831859712</v>
      </c>
      <c r="L18" s="155">
        <v>302.11282763914858</v>
      </c>
      <c r="M18" s="155">
        <v>158.48177644386183</v>
      </c>
      <c r="O18" s="154">
        <v>3710823.6427777419</v>
      </c>
      <c r="Q18" s="154">
        <v>771.16398770050512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MMULT(H18:M18,m_P_trtB)</f>
        <v>286.29740407020455</v>
      </c>
      <c r="I19" s="155">
        <v>124.66641596310309</v>
      </c>
      <c r="J19" s="155">
        <v>73.50113731898297</v>
      </c>
      <c r="K19" s="155">
        <v>28.910797320217753</v>
      </c>
      <c r="L19" s="155">
        <v>314.87744995929268</v>
      </c>
      <c r="M19" s="155">
        <v>171.74679536819872</v>
      </c>
      <c r="O19" s="154">
        <v>3792473.5717573185</v>
      </c>
      <c r="Q19" s="154">
        <v>757.73112211081957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MMULT(H19:M19,m_P_trtB)</f>
        <v>263.39361174458816</v>
      </c>
      <c r="I20" s="155">
        <v>124.21329344221981</v>
      </c>
      <c r="J20" s="155">
        <v>73.185135433893848</v>
      </c>
      <c r="K20" s="155">
        <v>28.343543298658368</v>
      </c>
      <c r="L20" s="155">
        <v>326.10776191834287</v>
      </c>
      <c r="M20" s="155">
        <v>184.75665416229671</v>
      </c>
      <c r="O20" s="154">
        <v>3861663.4397398671</v>
      </c>
      <c r="Q20" s="154">
        <v>744.66880554174895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MMULT(H20:M20,m_P_trtB)</f>
        <v>242.32212280502108</v>
      </c>
      <c r="I21" s="155">
        <v>123.65619904983441</v>
      </c>
      <c r="J21" s="155">
        <v>72.800692861933243</v>
      </c>
      <c r="K21" s="155">
        <v>27.783478081859144</v>
      </c>
      <c r="L21" s="155">
        <v>335.92625855465889</v>
      </c>
      <c r="M21" s="155">
        <v>197.51124864669299</v>
      </c>
      <c r="O21" s="154">
        <v>3919631.1636001943</v>
      </c>
      <c r="Q21" s="154">
        <v>731.96006763724313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MMULT(H21:M21,m_P_trtB)</f>
        <v>222.93635298061938</v>
      </c>
      <c r="I22" s="155">
        <v>123.00677085011282</v>
      </c>
      <c r="J22" s="155">
        <v>72.359439738976533</v>
      </c>
      <c r="K22" s="155">
        <v>27.235064198269772</v>
      </c>
      <c r="L22" s="155">
        <v>344.44855844849167</v>
      </c>
      <c r="M22" s="155">
        <v>210.0138137835296</v>
      </c>
      <c r="O22" s="154">
        <v>3967461.3330892073</v>
      </c>
      <c r="Q22" s="154">
        <v>719.58826718083617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MMULT(H22:M22,m_P_trtB)</f>
        <v>205.1014447421698</v>
      </c>
      <c r="I23" s="155">
        <v>122.27507536443247</v>
      </c>
      <c r="J23" s="155">
        <v>71.870277951377815</v>
      </c>
      <c r="K23" s="155">
        <v>26.700811589787563</v>
      </c>
      <c r="L23" s="155">
        <v>351.78279767948112</v>
      </c>
      <c r="M23" s="155">
        <v>222.269592672751</v>
      </c>
      <c r="O23" s="154">
        <v>4006114.2130801398</v>
      </c>
      <c r="Q23" s="154">
        <v>707.5373583761791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MMULT(H23:M23,m_P_trtB)</f>
        <v>188.6933291627962</v>
      </c>
      <c r="I24" s="155">
        <v>121.47000893591699</v>
      </c>
      <c r="J24" s="155">
        <v>71.34022771198714</v>
      </c>
      <c r="K24" s="155">
        <v>26.181961935022152</v>
      </c>
      <c r="L24" s="155">
        <v>358.02951436612193</v>
      </c>
      <c r="M24" s="155">
        <v>234.28495788815542</v>
      </c>
      <c r="O24" s="154">
        <v>4036447.479898815</v>
      </c>
      <c r="Q24" s="154">
        <v>695.79204364633779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MMULT(H24:M24,m_P_trtB)</f>
        <v>173.59786282977248</v>
      </c>
      <c r="I25" s="155">
        <v>120.59954480137498</v>
      </c>
      <c r="J25" s="155">
        <v>70.774987631774664</v>
      </c>
      <c r="K25" s="155">
        <v>25.678948415937111</v>
      </c>
      <c r="L25" s="155">
        <v>363.28181556222518</v>
      </c>
      <c r="M25" s="155">
        <v>246.06684075891539</v>
      </c>
      <c r="O25" s="154">
        <v>4059232.5841536298</v>
      </c>
      <c r="Q25" s="154">
        <v>684.33784968739371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MMULT(H25:M25,m_P_trtB)</f>
        <v>159.71003380339067</v>
      </c>
      <c r="I26" s="155">
        <v>119.67089188894911</v>
      </c>
      <c r="J26" s="155">
        <v>70.179306203461351</v>
      </c>
      <c r="K26" s="155">
        <v>25.191700981032483</v>
      </c>
      <c r="L26" s="155">
        <v>367.6256995770791</v>
      </c>
      <c r="M26" s="155">
        <v>257.6223675460871</v>
      </c>
      <c r="O26" s="154">
        <v>4075167.2112329951</v>
      </c>
      <c r="Q26" s="154">
        <v>673.16115302152025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MMULT(H26:M26,m_P_trtB)</f>
        <v>146.93323109911941</v>
      </c>
      <c r="I27" s="155">
        <v>118.69060269432586</v>
      </c>
      <c r="J27" s="155">
        <v>69.557229623403529</v>
      </c>
      <c r="K27" s="155">
        <v>24.719846759069352</v>
      </c>
      <c r="L27" s="155">
        <v>371.14045683652995</v>
      </c>
      <c r="M27" s="155">
        <v>268.95863298755171</v>
      </c>
      <c r="O27" s="154">
        <v>4084884.9343674635</v>
      </c>
      <c r="Q27" s="154">
        <v>662.24917333071107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MMULT(H27:M27,m_P_trtB)</f>
        <v>135.17857261118985</v>
      </c>
      <c r="I28" s="155">
        <v>117.66465133436034</v>
      </c>
      <c r="J28" s="155">
        <v>68.91226870850646</v>
      </c>
      <c r="K28" s="155">
        <v>24.262840134036402</v>
      </c>
      <c r="L28" s="155">
        <v>373.89910318277384</v>
      </c>
      <c r="M28" s="155">
        <v>280.08256402913293</v>
      </c>
      <c r="O28" s="154">
        <v>4088962.8521349486</v>
      </c>
      <c r="Q28" s="154">
        <v>651.58994704035479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MMULT(H28:M28,m_P_trtB)</f>
        <v>124.36428680229466</v>
      </c>
      <c r="I29" s="155">
        <v>116.59849368794094</v>
      </c>
      <c r="J29" s="155">
        <v>68.247512912948736</v>
      </c>
      <c r="K29" s="155">
        <v>23.820046099406071</v>
      </c>
      <c r="L29" s="155">
        <v>375.9688184079601</v>
      </c>
      <c r="M29" s="155">
        <v>291.00084208944929</v>
      </c>
      <c r="O29" s="154">
        <v>4087927.7722806539</v>
      </c>
      <c r="Q29" s="154">
        <v>641.17228949922446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MMULT(H29:M29,m_P_trtB)</f>
        <v>114.41514385811108</v>
      </c>
      <c r="I30" s="155">
        <v>115.49711635556059</v>
      </c>
      <c r="J30" s="155">
        <v>67.565709709818321</v>
      </c>
      <c r="K30" s="155">
        <v>23.390792854668291</v>
      </c>
      <c r="L30" s="155">
        <v>377.41137438765946</v>
      </c>
      <c r="M30" s="155">
        <v>301.71986283418204</v>
      </c>
      <c r="O30" s="154">
        <v>4082261.3356541051</v>
      </c>
      <c r="Q30" s="154">
        <v>630.98575124093247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MMULT(H30:M30,m_P_trtB)</f>
        <v>105.26193234946219</v>
      </c>
      <c r="I31" s="155">
        <v>114.36507826052363</v>
      </c>
      <c r="J31" s="155">
        <v>66.869321212972466</v>
      </c>
      <c r="K31" s="155">
        <v>22.974404322388004</v>
      </c>
      <c r="L31" s="155">
        <v>378.28354423587075</v>
      </c>
      <c r="M31" s="155">
        <v>312.24571961878274</v>
      </c>
      <c r="O31" s="154">
        <v>4072404.3544222591</v>
      </c>
      <c r="Q31" s="154">
        <v>621.02057186007028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MMULT(H31:M31,m_P_trtB)</f>
        <v>96.840977761505201</v>
      </c>
      <c r="I32" s="155">
        <v>113.20654708633175</v>
      </c>
      <c r="J32" s="155">
        <v>66.160565744020602</v>
      </c>
      <c r="K32" s="155">
        <v>22.570219666634493</v>
      </c>
      <c r="L32" s="155">
        <v>378.63748817765037</v>
      </c>
      <c r="M32" s="155">
        <v>322.58420156385733</v>
      </c>
      <c r="O32" s="154">
        <v>4058760.5551111423</v>
      </c>
      <c r="Q32" s="154">
        <v>611.26763372448806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MMULT(H32:M32,m_P_trtB)</f>
        <v>89.09369954058478</v>
      </c>
      <c r="I33" s="155">
        <v>112.02533183560396</v>
      </c>
      <c r="J33" s="155">
        <v>65.441449338936863</v>
      </c>
      <c r="K33" s="155">
        <v>22.177604472535389</v>
      </c>
      <c r="L33" s="155">
        <v>378.52111439849585</v>
      </c>
      <c r="M33" s="155">
        <v>332.74080041384286</v>
      </c>
      <c r="O33" s="154">
        <v>4041699.8593687015</v>
      </c>
      <c r="Q33" s="154">
        <v>601.71841687524523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MMULT(H33:M33,m_P_trtB)</f>
        <v>81.966203577337993</v>
      </c>
      <c r="I34" s="155">
        <v>110.82491228899832</v>
      </c>
      <c r="J34" s="155">
        <v>64.71379043331585</v>
      </c>
      <c r="K34" s="155">
        <v>21.79595663251407</v>
      </c>
      <c r="L34" s="155">
        <v>377.97841464134967</v>
      </c>
      <c r="M34" s="155">
        <v>342.7207224264838</v>
      </c>
      <c r="O34" s="154">
        <v>4021561.2959308554</v>
      </c>
      <c r="Q34" s="154">
        <v>592.36495589629794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DAFF-82A2-E840-B190-192E85C84F1D}">
  <dimension ref="A1:AB34"/>
  <sheetViews>
    <sheetView workbookViewId="0">
      <selection activeCell="D8" sqref="D8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36" t="s">
        <v>193</v>
      </c>
      <c r="H1" s="236"/>
      <c r="I1" s="236"/>
      <c r="J1" s="236"/>
      <c r="K1" s="236"/>
      <c r="L1" s="236"/>
      <c r="M1" s="236"/>
      <c r="N1" s="147"/>
      <c r="O1" s="148" t="s">
        <v>194</v>
      </c>
      <c r="P1" s="149"/>
      <c r="Q1" s="148" t="s">
        <v>195</v>
      </c>
      <c r="R1" s="150"/>
      <c r="S1" s="236" t="s">
        <v>196</v>
      </c>
      <c r="T1" s="236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225</v>
      </c>
      <c r="AB2" s="160" cm="1">
        <f t="array" ref="AB2">MMULT(TRANSPOSE(w_c_trtC),cost_trtC)</f>
        <v>86249960.569360688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227</v>
      </c>
      <c r="E3" s="142" t="s">
        <v>228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229</v>
      </c>
      <c r="P3" s="61"/>
      <c r="Q3" s="142" t="s">
        <v>230</v>
      </c>
      <c r="R3" s="61"/>
      <c r="S3" s="142" t="s">
        <v>231</v>
      </c>
      <c r="T3" s="142" t="s">
        <v>232</v>
      </c>
      <c r="U3" s="60"/>
      <c r="V3" s="142" t="s">
        <v>212</v>
      </c>
      <c r="W3" s="60"/>
      <c r="X3" s="142" t="s">
        <v>233</v>
      </c>
      <c r="Y3" s="142" t="s">
        <v>234</v>
      </c>
      <c r="Z3" s="61"/>
      <c r="AA3" s="152" t="s">
        <v>226</v>
      </c>
      <c r="AB3" s="161" cm="1">
        <f t="array" ref="AB3">MMULT(TRANSPOSE(w_e_trtC),qaly_trtC)</f>
        <v>15714.010986326313</v>
      </c>
    </row>
    <row r="4" spans="1:28" ht="16" x14ac:dyDescent="0.2">
      <c r="A4" s="61"/>
      <c r="B4" s="143" t="s">
        <v>23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MMULT(H4:M34,costs_trtC)</f>
        <v>0</v>
      </c>
      <c r="P4" s="61"/>
      <c r="Q4" s="154" cm="1">
        <f t="array" ref="Q4:Q34">MMULT(H4:M34,qalys_trtC)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 t="s">
        <v>23</v>
      </c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MMULT(H4:M4,m_P_trtC)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 t="s">
        <v>23</v>
      </c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MMULT(H5:M5,m_P_trtC)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992620.0000000007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 t="s">
        <v>23</v>
      </c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MMULT(H6:M6,m_P_trtC)</f>
        <v>778.68799999999976</v>
      </c>
      <c r="I7" s="155">
        <v>96.615000000000066</v>
      </c>
      <c r="J7" s="155">
        <v>47.608000000000018</v>
      </c>
      <c r="K7" s="155">
        <v>22.449000000000012</v>
      </c>
      <c r="L7" s="155">
        <v>42.400000000000034</v>
      </c>
      <c r="M7" s="155">
        <v>12.240000000000011</v>
      </c>
      <c r="O7" s="154">
        <v>1552418.4000000011</v>
      </c>
      <c r="Q7" s="154">
        <v>945.87251999999989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5" t="s">
        <v>23</v>
      </c>
      <c r="C8" s="145" t="s">
        <v>11</v>
      </c>
      <c r="D8" s="144">
        <f>nVisitsRemission*cVisit+cTrtC</f>
        <v>12600</v>
      </c>
      <c r="E8" s="104">
        <f>uRemission</f>
        <v>0.95</v>
      </c>
      <c r="G8" s="155">
        <v>4</v>
      </c>
      <c r="H8" s="155" cm="1">
        <f t="array" ref="H8:M8">MMULT(H7:M7,m_P_trtC)</f>
        <v>716.39295999999968</v>
      </c>
      <c r="I8" s="155">
        <v>106.23455000000007</v>
      </c>
      <c r="J8" s="155">
        <v>55.770510000000016</v>
      </c>
      <c r="K8" s="155">
        <v>26.152580000000015</v>
      </c>
      <c r="L8" s="155">
        <v>73.107350000000054</v>
      </c>
      <c r="M8" s="155">
        <v>22.342050000000015</v>
      </c>
      <c r="O8" s="154">
        <v>2099415.4180000015</v>
      </c>
      <c r="Q8" s="154">
        <v>928.34333739999988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5" t="s">
        <v>23</v>
      </c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MMULT(H8:M8,m_P_trtC)</f>
        <v>659.08152319999965</v>
      </c>
      <c r="I9" s="155">
        <v>111.31599850000008</v>
      </c>
      <c r="J9" s="155">
        <v>61.183396200000018</v>
      </c>
      <c r="K9" s="155">
        <v>28.605796100000013</v>
      </c>
      <c r="L9" s="155">
        <v>105.70257500000005</v>
      </c>
      <c r="M9" s="155">
        <v>34.110711000000023</v>
      </c>
      <c r="O9" s="154">
        <v>2614132.9647600013</v>
      </c>
      <c r="Q9" s="154">
        <v>911.19534602799968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MMULT(H9:M9,m_P_trtC)</f>
        <v>606.35500134399967</v>
      </c>
      <c r="I10" s="155">
        <v>113.65377374500008</v>
      </c>
      <c r="J10" s="155">
        <v>64.567609339000015</v>
      </c>
      <c r="K10" s="155">
        <v>30.071222712000012</v>
      </c>
      <c r="L10" s="155">
        <v>138.36907361500005</v>
      </c>
      <c r="M10" s="155">
        <v>46.983319245000033</v>
      </c>
      <c r="O10" s="154">
        <v>3087835.5197002012</v>
      </c>
      <c r="Q10" s="154">
        <v>894.48958498085972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MMULT(H10:M10,m_P_trtC)</f>
        <v>557.84660123647961</v>
      </c>
      <c r="I11" s="155">
        <v>114.33953714915008</v>
      </c>
      <c r="J11" s="155">
        <v>66.503985612680026</v>
      </c>
      <c r="K11" s="155">
        <v>30.784302770290012</v>
      </c>
      <c r="L11" s="155">
        <v>170.01020376600005</v>
      </c>
      <c r="M11" s="155">
        <v>60.515369465400042</v>
      </c>
      <c r="O11" s="154">
        <v>3518096.3475722652</v>
      </c>
      <c r="Q11" s="154">
        <v>878.27526628773899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MMULT(H11:M11,m_P_trtC)</f>
        <v>513.21887313756122</v>
      </c>
      <c r="I12" s="155">
        <v>114.03873867770557</v>
      </c>
      <c r="J12" s="155">
        <v>67.432696321087121</v>
      </c>
      <c r="K12" s="155">
        <v>30.94621523941181</v>
      </c>
      <c r="L12" s="155">
        <v>199.99517091220355</v>
      </c>
      <c r="M12" s="155">
        <v>74.368305712030548</v>
      </c>
      <c r="O12" s="154">
        <v>3905868.7424442749</v>
      </c>
      <c r="Q12" s="154">
        <v>862.58622741469549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MMULT(H12:M12,m_P_trtC)</f>
        <v>472.16136328655631</v>
      </c>
      <c r="I13" s="155">
        <v>113.15751715905124</v>
      </c>
      <c r="J13" s="155">
        <v>67.675083303388732</v>
      </c>
      <c r="K13" s="155">
        <v>30.720200799244591</v>
      </c>
      <c r="L13" s="155">
        <v>227.9917328819931</v>
      </c>
      <c r="M13" s="155">
        <v>88.294102569765869</v>
      </c>
      <c r="O13" s="154">
        <v>4253717.1200944688</v>
      </c>
      <c r="Q13" s="154">
        <v>847.44070605754894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MMULT(H13:M13,m_P_trtC)</f>
        <v>434.38845422363175</v>
      </c>
      <c r="I14" s="155">
        <v>111.94379512698025</v>
      </c>
      <c r="J14" s="155">
        <v>67.459873661271573</v>
      </c>
      <c r="K14" s="155">
        <v>30.232976527996172</v>
      </c>
      <c r="L14" s="155">
        <v>253.85670753069414</v>
      </c>
      <c r="M14" s="155">
        <v>102.11819292942593</v>
      </c>
      <c r="O14" s="154">
        <v>4564820.7329005813</v>
      </c>
      <c r="Q14" s="154">
        <v>832.84324793911526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MMULT(H14:M14,m_P_trtC)</f>
        <v>399.63737788574116</v>
      </c>
      <c r="I15" s="155">
        <v>110.54871860331707</v>
      </c>
      <c r="J15" s="155">
        <v>66.946855770947295</v>
      </c>
      <c r="K15" s="155">
        <v>29.57935385542514</v>
      </c>
      <c r="L15" s="155">
        <v>277.56466151754489</v>
      </c>
      <c r="M15" s="155">
        <v>115.7230323670242</v>
      </c>
      <c r="O15" s="154">
        <v>4842451.0558830574</v>
      </c>
      <c r="Q15" s="154">
        <v>818.7875136836534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MMULT(H15:M15,m_P_trtC)</f>
        <v>367.66638765488182</v>
      </c>
      <c r="I16" s="155">
        <v>109.0641118508678</v>
      </c>
      <c r="J16" s="155">
        <v>66.245993803737065</v>
      </c>
      <c r="K16" s="155">
        <v>28.828079072212077</v>
      </c>
      <c r="L16" s="155">
        <v>299.16168601633547</v>
      </c>
      <c r="M16" s="155">
        <v>129.03374160196552</v>
      </c>
      <c r="O16" s="154">
        <v>5089722.4126294423</v>
      </c>
      <c r="Q16" s="154">
        <v>805.25917186581387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MMULT(H16:M16,m_P_trtC)</f>
        <v>338.25307664249124</v>
      </c>
      <c r="I17" s="155">
        <v>107.54537607681181</v>
      </c>
      <c r="J17" s="155">
        <v>65.431972894363966</v>
      </c>
      <c r="K17" s="155">
        <v>28.027602483215418</v>
      </c>
      <c r="L17" s="155">
        <v>318.73559471865633</v>
      </c>
      <c r="M17" s="155">
        <v>142.00637718446094</v>
      </c>
      <c r="O17" s="154">
        <v>5309491.6776279863</v>
      </c>
      <c r="Q17" s="154">
        <v>792.23846022176508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MMULT(H17:M17,m_P_trtC)</f>
        <v>311.19283051109193</v>
      </c>
      <c r="I18" s="155">
        <v>106.02552666270329</v>
      </c>
      <c r="J18" s="155">
        <v>64.554874895683284</v>
      </c>
      <c r="K18" s="155">
        <v>27.211127942187218</v>
      </c>
      <c r="L18" s="155">
        <v>336.39684168642611</v>
      </c>
      <c r="M18" s="155">
        <v>154.61879830190787</v>
      </c>
      <c r="O18" s="154">
        <v>5504334.3154169573</v>
      </c>
      <c r="Q18" s="154">
        <v>779.70226081149815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MMULT(H18:M18,m_P_trtC)</f>
        <v>286.29740407020455</v>
      </c>
      <c r="I19" s="155">
        <v>104.52381968541724</v>
      </c>
      <c r="J19" s="155">
        <v>63.647827444740024</v>
      </c>
      <c r="K19" s="155">
        <v>26.400723510557022</v>
      </c>
      <c r="L19" s="155">
        <v>352.26641941318871</v>
      </c>
      <c r="M19" s="155">
        <v>166.86380587589213</v>
      </c>
      <c r="O19" s="154">
        <v>5676556.1391498968</v>
      </c>
      <c r="Q19" s="154">
        <v>767.6256817854669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MMULT(H19:M19,m_P_trtC)</f>
        <v>263.39361174458816</v>
      </c>
      <c r="I20" s="155">
        <v>103.05106534192791</v>
      </c>
      <c r="J20" s="155">
        <v>62.732391080581458</v>
      </c>
      <c r="K20" s="155">
        <v>25.610509912691562</v>
      </c>
      <c r="L20" s="155">
        <v>366.46829046456776</v>
      </c>
      <c r="M20" s="155">
        <v>178.74413145564279</v>
      </c>
      <c r="O20" s="154">
        <v>5828219.2101552691</v>
      </c>
      <c r="Q20" s="154">
        <v>755.98320642260592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MMULT(H20:M20,m_P_trtC)</f>
        <v>242.32212280502108</v>
      </c>
      <c r="I21" s="155">
        <v>101.61290713674003</v>
      </c>
      <c r="J21" s="155">
        <v>61.822304722359362</v>
      </c>
      <c r="K21" s="155">
        <v>24.849049735878886</v>
      </c>
      <c r="L21" s="155">
        <v>379.1247546836463</v>
      </c>
      <c r="M21" s="155">
        <v>190.26886091635399</v>
      </c>
      <c r="O21" s="154">
        <v>5961171.1083061052</v>
      </c>
      <c r="Q21" s="154">
        <v>744.74949229260778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MMULT(H21:M21,m_P_trtC)</f>
        <v>222.93635298061938</v>
      </c>
      <c r="I22" s="155">
        <v>100.21184874943239</v>
      </c>
      <c r="J22" s="155">
        <v>60.926063583656919</v>
      </c>
      <c r="K22" s="155">
        <v>24.12109180434356</v>
      </c>
      <c r="L22" s="155">
        <v>390.35370958444793</v>
      </c>
      <c r="M22" s="155">
        <v>201.45093329749949</v>
      </c>
      <c r="O22" s="154">
        <v>6077072.6864262363</v>
      </c>
      <c r="Q22" s="154">
        <v>733.89990217930551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MMULT(H22:M22,m_P_trtC)</f>
        <v>205.1014447421698</v>
      </c>
      <c r="I23" s="155">
        <v>98.848507994567285</v>
      </c>
      <c r="J23" s="155">
        <v>60.048678866655919</v>
      </c>
      <c r="K23" s="155">
        <v>23.428818969526514</v>
      </c>
      <c r="L23" s="155">
        <v>400.26712481762604</v>
      </c>
      <c r="M23" s="155">
        <v>212.30542460945409</v>
      </c>
      <c r="O23" s="154">
        <v>6177422.4734263327</v>
      </c>
      <c r="Q23" s="154">
        <v>723.41083717848892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MMULT(H23:M23,m_P_trtC)</f>
        <v>188.6933291627962</v>
      </c>
      <c r="I24" s="155">
        <v>97.52239261779134</v>
      </c>
      <c r="J24" s="155">
        <v>59.192870459122524</v>
      </c>
      <c r="K24" s="155">
        <v>22.772725762183345</v>
      </c>
      <c r="L24" s="155">
        <v>408.97028885236523</v>
      </c>
      <c r="M24" s="155">
        <v>222.84839314574103</v>
      </c>
      <c r="O24" s="154">
        <v>6263577.3727166038</v>
      </c>
      <c r="Q24" s="154">
        <v>713.25992837656258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MMULT(H24:M24,m_P_trtC)</f>
        <v>173.59786282977248</v>
      </c>
      <c r="I25" s="155">
        <v>96.232379625278597</v>
      </c>
      <c r="J25" s="155">
        <v>58.359870185665045</v>
      </c>
      <c r="K25" s="155">
        <v>22.152226741588017</v>
      </c>
      <c r="L25" s="155">
        <v>416.56154087897198</v>
      </c>
      <c r="M25" s="155">
        <v>233.09611973872353</v>
      </c>
      <c r="O25" s="154">
        <v>6336769.9482171228</v>
      </c>
      <c r="Q25" s="154">
        <v>703.42613019383487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MMULT(H25:M25,m_P_trtC)</f>
        <v>159.71003380339067</v>
      </c>
      <c r="I26" s="155">
        <v>94.977010451151585</v>
      </c>
      <c r="J26" s="155">
        <v>57.549959485181176</v>
      </c>
      <c r="K26" s="155">
        <v>21.56607252694149</v>
      </c>
      <c r="L26" s="155">
        <v>423.13230196089654</v>
      </c>
      <c r="M26" s="155">
        <v>243.06462177243813</v>
      </c>
      <c r="O26" s="154">
        <v>6398122.8123474866</v>
      </c>
      <c r="Q26" s="154">
        <v>693.88974720743329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MMULT(H26:M26,m_P_trtC)</f>
        <v>146.93323109911941</v>
      </c>
      <c r="I27" s="155">
        <v>93.754671555721984</v>
      </c>
      <c r="J27" s="155">
        <v>56.762827077856677</v>
      </c>
      <c r="K27" s="155">
        <v>21.012630524281828</v>
      </c>
      <c r="L27" s="155">
        <v>428.76728533345783</v>
      </c>
      <c r="M27" s="155">
        <v>252.7693544095618</v>
      </c>
      <c r="O27" s="154">
        <v>6448660.6528146304</v>
      </c>
      <c r="Q27" s="154">
        <v>684.63241734895939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MMULT(H27:M27,m_P_trtC)</f>
        <v>135.17857261118985</v>
      </c>
      <c r="I28" s="155">
        <v>92.563703686741007</v>
      </c>
      <c r="J28" s="155">
        <v>55.997805257151839</v>
      </c>
      <c r="K28" s="155">
        <v>20.490071634810612</v>
      </c>
      <c r="L28" s="155">
        <v>433.54480866461756</v>
      </c>
      <c r="M28" s="155">
        <v>262.22503814548861</v>
      </c>
      <c r="O28" s="154">
        <v>6489320.3748520659</v>
      </c>
      <c r="Q28" s="154">
        <v>675.63706760801824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MMULT(H28:M28,m_P_trtC)</f>
        <v>124.36428680229466</v>
      </c>
      <c r="I29" s="155">
        <v>91.402466723029633</v>
      </c>
      <c r="J29" s="155">
        <v>55.254024730221886</v>
      </c>
      <c r="K29" s="155">
        <v>19.996492332089979</v>
      </c>
      <c r="L29" s="155">
        <v>437.53715903120991</v>
      </c>
      <c r="M29" s="155">
        <v>271.4455703811534</v>
      </c>
      <c r="O29" s="154">
        <v>6520959.7507121768</v>
      </c>
      <c r="Q29" s="154">
        <v>666.88785339622007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MMULT(H29:M29,m_P_trtC)</f>
        <v>114.41514385811108</v>
      </c>
      <c r="I30" s="155">
        <v>90.269376898155599</v>
      </c>
      <c r="J30" s="155">
        <v>54.530515043710686</v>
      </c>
      <c r="K30" s="155">
        <v>19.52999274360122</v>
      </c>
      <c r="L30" s="155">
        <v>440.81097952582695</v>
      </c>
      <c r="M30" s="155">
        <v>280.44399193059388</v>
      </c>
      <c r="O30" s="154">
        <v>6544364.8850287339</v>
      </c>
      <c r="Q30" s="154">
        <v>658.37008914675471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MMULT(H30:M30,m_P_trtC)</f>
        <v>105.26193234946219</v>
      </c>
      <c r="I31" s="155">
        <v>89.16292690518361</v>
      </c>
      <c r="J31" s="155">
        <v>53.8262688209008</v>
      </c>
      <c r="K31" s="155">
        <v>19.088725066938323</v>
      </c>
      <c r="L31" s="155">
        <v>443.4276581923001</v>
      </c>
      <c r="M31" s="155">
        <v>289.23248866521442</v>
      </c>
      <c r="O31" s="154">
        <v>6560256.7333347304</v>
      </c>
      <c r="Q31" s="154">
        <v>650.07017519564624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MMULT(H31:M31,m_P_trtC)</f>
        <v>96.840977761505201</v>
      </c>
      <c r="I32" s="155">
        <v>88.08169545650253</v>
      </c>
      <c r="J32" s="155">
        <v>53.140282047241008</v>
      </c>
      <c r="K32" s="155">
        <v>18.670922180098906</v>
      </c>
      <c r="L32" s="155">
        <v>445.44370760931514</v>
      </c>
      <c r="M32" s="155">
        <v>297.82241494533667</v>
      </c>
      <c r="O32" s="154">
        <v>6569296.8539262051</v>
      </c>
      <c r="Q32" s="154">
        <v>641.97552423045352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MMULT(H32:M32,m_P_trtC)</f>
        <v>89.09369954058478</v>
      </c>
      <c r="I33" s="155">
        <v>87.024350417629734</v>
      </c>
      <c r="J33" s="155">
        <v>52.4715785904162</v>
      </c>
      <c r="K33" s="155">
        <v>18.274913174750658</v>
      </c>
      <c r="L33" s="155">
        <v>446.91112835023688</v>
      </c>
      <c r="M33" s="155">
        <v>306.22432992638119</v>
      </c>
      <c r="O33" s="154">
        <v>6572092.529386404</v>
      </c>
      <c r="Q33" s="154">
        <v>634.07448938292964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MMULT(H33:M33,m_P_trtC)</f>
        <v>81.966203577337993</v>
      </c>
      <c r="I34" s="155">
        <v>85.989648095521247</v>
      </c>
      <c r="J34" s="155">
        <v>51.819224412566662</v>
      </c>
      <c r="K34" s="155">
        <v>17.89913037134361</v>
      </c>
      <c r="L34" s="155">
        <v>447.87775268821093</v>
      </c>
      <c r="M34" s="155">
        <v>314.44804085501897</v>
      </c>
      <c r="O34" s="154">
        <v>6569201.361209943</v>
      </c>
      <c r="Q34" s="154">
        <v>626.35629522180307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116</vt:i4>
      </vt:variant>
    </vt:vector>
  </HeadingPairs>
  <TitlesOfParts>
    <vt:vector size="134" baseType="lpstr">
      <vt:lpstr>Parameters</vt:lpstr>
      <vt:lpstr>Life Table - Male</vt:lpstr>
      <vt:lpstr>Strategy 1 - phd</vt:lpstr>
      <vt:lpstr>Strategy 1 - Status quo</vt:lpstr>
      <vt:lpstr>Strategy 2 - phd</vt:lpstr>
      <vt:lpstr>Strategy 2 - Treatment A</vt:lpstr>
      <vt:lpstr>Strategy 3 - phd</vt:lpstr>
      <vt:lpstr>Strategy 3 - Treatment B</vt:lpstr>
      <vt:lpstr>Strategy 4 - phd</vt:lpstr>
      <vt:lpstr>Strategy 4 - Treatment C</vt:lpstr>
      <vt:lpstr>CEA results</vt:lpstr>
      <vt:lpstr>One-way DSA</vt:lpstr>
      <vt:lpstr>John's Template &gt;&gt;&gt;</vt:lpstr>
      <vt:lpstr>Transition Matrix</vt:lpstr>
      <vt:lpstr>S1 - Status quo</vt:lpstr>
      <vt:lpstr>S2 - trt A</vt:lpstr>
      <vt:lpstr>S3 - trt B</vt:lpstr>
      <vt:lpstr>S4 - trt C</vt:lpstr>
      <vt:lpstr>'S2 - trt A'!cost_quo</vt:lpstr>
      <vt:lpstr>'S3 - trt B'!cost_quo</vt:lpstr>
      <vt:lpstr>'S4 - trt C'!cost_quo</vt:lpstr>
      <vt:lpstr>cost_quo</vt:lpstr>
      <vt:lpstr>'S3 - trt B'!cost_trtA</vt:lpstr>
      <vt:lpstr>'S4 - trt C'!cost_trtA</vt:lpstr>
      <vt:lpstr>cost_trtA</vt:lpstr>
      <vt:lpstr>cost_trtB</vt:lpstr>
      <vt:lpstr>cost_trtC</vt:lpstr>
      <vt:lpstr>'S2 - trt A'!costs_quo</vt:lpstr>
      <vt:lpstr>'S3 - trt B'!costs_quo</vt:lpstr>
      <vt:lpstr>'S4 - trt C'!costs_quo</vt:lpstr>
      <vt:lpstr>costs_quo</vt:lpstr>
      <vt:lpstr>'S3 - trt B'!costs_trtA</vt:lpstr>
      <vt:lpstr>'S4 - trt C'!costs_trtA</vt:lpstr>
      <vt:lpstr>costs_trtA</vt:lpstr>
      <vt:lpstr>'S4 - trt C'!costs_trtB</vt:lpstr>
      <vt:lpstr>costs_trtB</vt:lpstr>
      <vt:lpstr>costs_trtC</vt:lpstr>
      <vt:lpstr>cTreatmentRemission</vt:lpstr>
      <vt:lpstr>cTreatmentStage1</vt:lpstr>
      <vt:lpstr>cTreatmentStage2</vt:lpstr>
      <vt:lpstr>cTreatmentStage3</vt:lpstr>
      <vt:lpstr>cTrtA</vt:lpstr>
      <vt:lpstr>cTrtB</vt:lpstr>
      <vt:lpstr>cTrtC</vt:lpstr>
      <vt:lpstr>cVisit</vt:lpstr>
      <vt:lpstr>discount_rate</vt:lpstr>
      <vt:lpstr>hrRemissionStage1_trtA</vt:lpstr>
      <vt:lpstr>hrRemissionStage1_trtB</vt:lpstr>
      <vt:lpstr>hrRemissionStage1_trtC</vt:lpstr>
      <vt:lpstr>hrRemissionStage2_trtA</vt:lpstr>
      <vt:lpstr>hrRemissionStage2_trtB</vt:lpstr>
      <vt:lpstr>hrRemissionStage2_trtC</vt:lpstr>
      <vt:lpstr>m_P_quo</vt:lpstr>
      <vt:lpstr>m_P_trtA</vt:lpstr>
      <vt:lpstr>m_P_trtB</vt:lpstr>
      <vt:lpstr>m_P_trtC</vt:lpstr>
      <vt:lpstr>nPop</vt:lpstr>
      <vt:lpstr>nVisitsRemission</vt:lpstr>
      <vt:lpstr>nVisitsStage1</vt:lpstr>
      <vt:lpstr>nVisitsStage2</vt:lpstr>
      <vt:lpstr>nVisitsStage3</vt:lpstr>
      <vt:lpstr>pHealthyStage1</vt:lpstr>
      <vt:lpstr>pHealthyStage2</vt:lpstr>
      <vt:lpstr>pHealthyStage3</vt:lpstr>
      <vt:lpstr>pRemissionStage1</vt:lpstr>
      <vt:lpstr>pRemissionStage1_trtA</vt:lpstr>
      <vt:lpstr>pRemissionStage1_trtB</vt:lpstr>
      <vt:lpstr>pRemissionStage1_trtC</vt:lpstr>
      <vt:lpstr>pRemissionStage2</vt:lpstr>
      <vt:lpstr>pRemissionStage2_trtA</vt:lpstr>
      <vt:lpstr>pRemissionStage2_trtB</vt:lpstr>
      <vt:lpstr>pRemissionStage2_trtC</vt:lpstr>
      <vt:lpstr>pStage1Remission</vt:lpstr>
      <vt:lpstr>pStage1Stage2</vt:lpstr>
      <vt:lpstr>pStage2Remission</vt:lpstr>
      <vt:lpstr>pStage2Stage1</vt:lpstr>
      <vt:lpstr>pStage2Stage3</vt:lpstr>
      <vt:lpstr>pStage3Death</vt:lpstr>
      <vt:lpstr>pStage3Stage2</vt:lpstr>
      <vt:lpstr>'S2 - trt A'!qaly_quo</vt:lpstr>
      <vt:lpstr>'S3 - trt B'!qaly_quo</vt:lpstr>
      <vt:lpstr>'S4 - trt C'!qaly_quo</vt:lpstr>
      <vt:lpstr>qaly_quo</vt:lpstr>
      <vt:lpstr>'S3 - trt B'!qaly_trtA</vt:lpstr>
      <vt:lpstr>'S4 - trt C'!qaly_trtA</vt:lpstr>
      <vt:lpstr>qaly_trtA</vt:lpstr>
      <vt:lpstr>qaly_trtB</vt:lpstr>
      <vt:lpstr>qaly_trtC</vt:lpstr>
      <vt:lpstr>'S2 - trt A'!qalys_quo</vt:lpstr>
      <vt:lpstr>'S3 - trt B'!qalys_quo</vt:lpstr>
      <vt:lpstr>'S4 - trt C'!qalys_quo</vt:lpstr>
      <vt:lpstr>qalys_quo</vt:lpstr>
      <vt:lpstr>'S3 - trt B'!qalys_trtA</vt:lpstr>
      <vt:lpstr>'S4 - trt C'!qalys_trtA</vt:lpstr>
      <vt:lpstr>qalys_trtA</vt:lpstr>
      <vt:lpstr>'S4 - trt C'!qalys_trtB</vt:lpstr>
      <vt:lpstr>qalys_trtB</vt:lpstr>
      <vt:lpstr>qalys_trtC</vt:lpstr>
      <vt:lpstr>rHealthyStage1</vt:lpstr>
      <vt:lpstr>rHealthyStage2</vt:lpstr>
      <vt:lpstr>rHealthyStage3</vt:lpstr>
      <vt:lpstr>rRemissionStage1</vt:lpstr>
      <vt:lpstr>rRemissionStage2</vt:lpstr>
      <vt:lpstr>rStage1Remission</vt:lpstr>
      <vt:lpstr>rStage1Stage2</vt:lpstr>
      <vt:lpstr>rStage2Remission</vt:lpstr>
      <vt:lpstr>rStage2Stage1</vt:lpstr>
      <vt:lpstr>rStage2Stage3</vt:lpstr>
      <vt:lpstr>rStage3Death</vt:lpstr>
      <vt:lpstr>rStage3Stage2</vt:lpstr>
      <vt:lpstr>uHealthy</vt:lpstr>
      <vt:lpstr>uRemission</vt:lpstr>
      <vt:lpstr>uStage1</vt:lpstr>
      <vt:lpstr>uStage2</vt:lpstr>
      <vt:lpstr>uStage3</vt:lpstr>
      <vt:lpstr>'S2 - trt A'!w_c_quo</vt:lpstr>
      <vt:lpstr>'S3 - trt B'!w_c_quo</vt:lpstr>
      <vt:lpstr>'S4 - trt C'!w_c_quo</vt:lpstr>
      <vt:lpstr>w_c_quo</vt:lpstr>
      <vt:lpstr>'S3 - trt B'!w_c_trtA</vt:lpstr>
      <vt:lpstr>'S4 - trt C'!w_c_trtA</vt:lpstr>
      <vt:lpstr>w_c_trtA</vt:lpstr>
      <vt:lpstr>w_c_trtB</vt:lpstr>
      <vt:lpstr>w_c_trtC</vt:lpstr>
      <vt:lpstr>'S2 - trt A'!w_e_quo</vt:lpstr>
      <vt:lpstr>'S3 - trt B'!w_e_quo</vt:lpstr>
      <vt:lpstr>'S4 - trt C'!w_e_quo</vt:lpstr>
      <vt:lpstr>w_e_quo</vt:lpstr>
      <vt:lpstr>'S3 - trt B'!w_e_trtA</vt:lpstr>
      <vt:lpstr>'S4 - trt C'!w_e_trtA</vt:lpstr>
      <vt:lpstr>w_e_trtA</vt:lpstr>
      <vt:lpstr>w_e_trtB</vt:lpstr>
      <vt:lpstr>w_e_trtC</vt:lpstr>
      <vt:lpstr>wtp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Horný</dc:creator>
  <cp:lastModifiedBy>Yu, Hanxuan</cp:lastModifiedBy>
  <dcterms:created xsi:type="dcterms:W3CDTF">2016-02-09T16:42:14Z</dcterms:created>
  <dcterms:modified xsi:type="dcterms:W3CDTF">2023-11-29T19:57:11Z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2022-10-27T05:31:57Z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ec4c4245-5eb5-480b-a20a-cdfd1a25ea5e</vt:lpwstr>
  </property>
  <property fmtid="{D5CDD505-2E9C-101B-9397-08002B2CF9AE}" pid="8" name="MSIP_Label_792c8cef-6f2b-4af1-b4ac-d815ff795cd6_ContentBits">
    <vt:lpwstr>0</vt:lpwstr>
  </property>
</Properties>
</file>