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yu/Documents/GitHub/RIPS_CVD/"/>
    </mc:Choice>
  </mc:AlternateContent>
  <xr:revisionPtr revIDLastSave="0" documentId="13_ncr:1_{B79D54A7-02F9-A14B-8A4A-4F2BB8E64004}" xr6:coauthVersionLast="47" xr6:coauthVersionMax="47" xr10:uidLastSave="{00000000-0000-0000-0000-000000000000}"/>
  <bookViews>
    <workbookView xWindow="8300" yWindow="1080" windowWidth="26140" windowHeight="18740" activeTab="10" xr2:uid="{662BD01A-6D8F-4448-A9B7-D7B1817CA996}"/>
  </bookViews>
  <sheets>
    <sheet name="parameters" sheetId="1" r:id="rId1"/>
    <sheet name="transition_rates" sheetId="7" r:id="rId2"/>
    <sheet name="transition_probs" sheetId="6" r:id="rId3"/>
    <sheet name="payoffs" sheetId="2" r:id="rId4"/>
    <sheet name="Life_table_HD" sheetId="18" r:id="rId5"/>
    <sheet name="Life_table_SD" sheetId="19" r:id="rId6"/>
    <sheet name="&lt;&lt;&lt; SETUP &lt;&lt;&lt;" sheetId="8" r:id="rId7"/>
    <sheet name="Embed Transition Matrix" sheetId="9" state="hidden" r:id="rId8"/>
    <sheet name="Calculate Transition Matrix" sheetId="17" state="hidden" r:id="rId9"/>
    <sheet name="one-way" sheetId="15" state="hidden" r:id="rId10"/>
    <sheet name="quo" sheetId="3" r:id="rId11"/>
    <sheet name="trt" sheetId="10" r:id="rId12"/>
    <sheet name="ICER" sheetId="5" r:id="rId13"/>
  </sheets>
  <definedNames>
    <definedName name="c_D">parameters!$B$15</definedName>
    <definedName name="c_D_quo">payoffs!$E$4</definedName>
    <definedName name="c_D_trt">payoffs!$E$7</definedName>
    <definedName name="c_fatal_firstYr">parameters!$B$18</definedName>
    <definedName name="c_H">parameters!$B$13</definedName>
    <definedName name="c_H_quo">payoffs!$E$2</definedName>
    <definedName name="c_H_trt">payoffs!$E$5</definedName>
    <definedName name="c_nonfatal_firstYr">parameters!$B$17</definedName>
    <definedName name="c_S">parameters!$B$14</definedName>
    <definedName name="c_S_quo">payoffs!$E$3</definedName>
    <definedName name="c_S_trt">payoffs!$E$6</definedName>
    <definedName name="c_trt">parameters!$B$16</definedName>
    <definedName name="d_c">parameters!$B$4</definedName>
    <definedName name="d_e">parameters!$B$5</definedName>
    <definedName name="hr_HS_trt">parameters!$B$9</definedName>
    <definedName name="hr_S">parameters!$B$8</definedName>
    <definedName name="n_age_init">parameters!$B$2</definedName>
    <definedName name="n_age_max">parameters!$B$3</definedName>
    <definedName name="n_cycle_length">parameters!$B$19</definedName>
    <definedName name="n_cycles">parameters!$B$22</definedName>
    <definedName name="n_sim">parameters!$B$6</definedName>
    <definedName name="p_HS">parameters!$B$20</definedName>
    <definedName name="p_HS_trt">parameters!$B$21</definedName>
    <definedName name="r_HS">parameters!$B$7</definedName>
    <definedName name="tot_cost_quo">quo!$L$4:$L$14</definedName>
    <definedName name="tot_cost_trt">trt!$L$4:$L$14</definedName>
    <definedName name="tot_qaly_quo">quo!$N$4:$N$14</definedName>
    <definedName name="tot_qaly_trt">trt!$N$4:$N$14</definedName>
    <definedName name="u_D">parameters!$B$12</definedName>
    <definedName name="u_D_quo">payoffs!$H$4</definedName>
    <definedName name="u_D_trt">payoffs!$H$7</definedName>
    <definedName name="u_H">parameters!$B$10</definedName>
    <definedName name="u_H_quo">payoffs!$H$2</definedName>
    <definedName name="u_H_trt">payoffs!$H$5</definedName>
    <definedName name="u_S">parameters!$B$11</definedName>
    <definedName name="u_S_quo">payoffs!$H$3</definedName>
    <definedName name="u_S_trt">payoffs!$H$6</definedName>
    <definedName name="w_c_quo">quo!$U$4:$U$14</definedName>
    <definedName name="w_c_trt">trt!$U$4:$U$14</definedName>
    <definedName name="w_e_quo">quo!$V$4:$V$14</definedName>
    <definedName name="w_e_trt">trt!$V$4:$V$14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8" l="1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4" i="18"/>
  <c r="D3" i="18"/>
  <c r="D2" i="18"/>
  <c r="D5" i="5" a="1"/>
  <c r="D5" i="5" s="1"/>
  <c r="D4" i="5" a="1"/>
  <c r="D4" i="5" s="1"/>
  <c r="C5" i="5" a="1"/>
  <c r="C5" i="5" s="1"/>
  <c r="C4" i="5" a="1"/>
  <c r="C4" i="5" s="1"/>
  <c r="Y3" i="10" a="1"/>
  <c r="Y3" i="10" s="1"/>
  <c r="Y2" i="10" a="1"/>
  <c r="Y2" i="10" s="1"/>
  <c r="N4" i="10" a="1"/>
  <c r="N4" i="10" s="1"/>
  <c r="L4" i="10" a="1"/>
  <c r="L4" i="10" s="1"/>
  <c r="H6" i="10"/>
  <c r="I6" i="10"/>
  <c r="I7" i="10" s="1"/>
  <c r="I8" i="10" s="1"/>
  <c r="I9" i="10" s="1"/>
  <c r="J6" i="10"/>
  <c r="J7" i="10" s="1"/>
  <c r="J8" i="10" s="1"/>
  <c r="J9" i="10" s="1"/>
  <c r="H7" i="10"/>
  <c r="H8" i="10"/>
  <c r="H9" i="10" s="1"/>
  <c r="H10" i="10" s="1"/>
  <c r="H11" i="10" s="1"/>
  <c r="H12" i="10" s="1"/>
  <c r="H13" i="10" s="1"/>
  <c r="H14" i="10" s="1"/>
  <c r="I5" i="10"/>
  <c r="H5" i="10"/>
  <c r="J5" i="10"/>
  <c r="S14" i="10"/>
  <c r="S14" i="3"/>
  <c r="E8" i="10"/>
  <c r="E7" i="10"/>
  <c r="E6" i="10"/>
  <c r="D8" i="10"/>
  <c r="D7" i="10"/>
  <c r="D6" i="10"/>
  <c r="H6" i="3"/>
  <c r="I6" i="3"/>
  <c r="J6" i="3"/>
  <c r="H7" i="3"/>
  <c r="I7" i="3"/>
  <c r="J7" i="3"/>
  <c r="J8" i="3" s="1"/>
  <c r="J9" i="3" s="1"/>
  <c r="H8" i="3"/>
  <c r="H9" i="3" s="1"/>
  <c r="H10" i="3" s="1"/>
  <c r="H11" i="3" s="1"/>
  <c r="H12" i="3" s="1"/>
  <c r="H13" i="3" s="1"/>
  <c r="H14" i="3" s="1"/>
  <c r="I8" i="3"/>
  <c r="I9" i="3"/>
  <c r="I10" i="3" s="1"/>
  <c r="I11" i="3" s="1"/>
  <c r="I12" i="3" s="1"/>
  <c r="I13" i="3" s="1"/>
  <c r="I14" i="3" s="1"/>
  <c r="I5" i="3"/>
  <c r="J5" i="3"/>
  <c r="H5" i="3"/>
  <c r="B21" i="1"/>
  <c r="B20" i="1"/>
  <c r="E8" i="3"/>
  <c r="E7" i="3"/>
  <c r="E6" i="3"/>
  <c r="D8" i="3"/>
  <c r="D7" i="3"/>
  <c r="D6" i="3"/>
  <c r="D3" i="9" a="1"/>
  <c r="D3" i="9" s="1"/>
  <c r="E5" i="2"/>
  <c r="E2" i="2"/>
  <c r="B14" i="1"/>
  <c r="S4" i="3"/>
  <c r="S5" i="3"/>
  <c r="S6" i="3"/>
  <c r="S7" i="3"/>
  <c r="S8" i="3"/>
  <c r="S9" i="3"/>
  <c r="S10" i="3"/>
  <c r="S11" i="3"/>
  <c r="S12" i="3"/>
  <c r="S13" i="3"/>
  <c r="F8" i="9"/>
  <c r="S8" i="9" s="1"/>
  <c r="E8" i="9"/>
  <c r="R8" i="9" s="1"/>
  <c r="F7" i="9"/>
  <c r="S7" i="9" s="1"/>
  <c r="E7" i="9"/>
  <c r="R7" i="9" s="1"/>
  <c r="D7" i="9"/>
  <c r="Q7" i="9" s="1"/>
  <c r="F4" i="9"/>
  <c r="E4" i="9"/>
  <c r="R4" i="9" s="1"/>
  <c r="F3" i="9"/>
  <c r="S3" i="9" s="1"/>
  <c r="E3" i="9"/>
  <c r="R3" i="9" s="1"/>
  <c r="E3" i="17"/>
  <c r="F8" i="17"/>
  <c r="K8" i="17" s="1"/>
  <c r="E8" i="17"/>
  <c r="F7" i="17"/>
  <c r="E7" i="17"/>
  <c r="D7" i="17"/>
  <c r="F4" i="17"/>
  <c r="K4" i="17" s="1"/>
  <c r="E4" i="17"/>
  <c r="F3" i="17"/>
  <c r="D3" i="17"/>
  <c r="B20" i="15"/>
  <c r="B19" i="15"/>
  <c r="B18" i="15"/>
  <c r="B17" i="15"/>
  <c r="B16" i="15"/>
  <c r="B15" i="15"/>
  <c r="B14" i="15"/>
  <c r="B13" i="15"/>
  <c r="B12" i="15"/>
  <c r="B4" i="15"/>
  <c r="B5" i="15"/>
  <c r="B6" i="15"/>
  <c r="B7" i="15"/>
  <c r="B8" i="15"/>
  <c r="B9" i="15"/>
  <c r="B10" i="15"/>
  <c r="B11" i="15"/>
  <c r="B3" i="15"/>
  <c r="S13" i="10"/>
  <c r="S12" i="10"/>
  <c r="S11" i="10"/>
  <c r="S10" i="10"/>
  <c r="S9" i="10"/>
  <c r="S8" i="10"/>
  <c r="S7" i="10"/>
  <c r="S6" i="10"/>
  <c r="S5" i="10"/>
  <c r="G5" i="10"/>
  <c r="Q5" i="10" s="1"/>
  <c r="V5" i="10" s="1"/>
  <c r="S4" i="10"/>
  <c r="Q4" i="10"/>
  <c r="P4" i="10"/>
  <c r="B22" i="1"/>
  <c r="P4" i="3"/>
  <c r="Q4" i="3"/>
  <c r="S9" i="9"/>
  <c r="R9" i="9"/>
  <c r="Q9" i="9"/>
  <c r="Q8" i="9"/>
  <c r="S5" i="9"/>
  <c r="R5" i="9"/>
  <c r="Q5" i="9"/>
  <c r="Q4" i="9"/>
  <c r="S4" i="9"/>
  <c r="H7" i="2"/>
  <c r="H6" i="2"/>
  <c r="H5" i="2"/>
  <c r="H4" i="2"/>
  <c r="H3" i="2"/>
  <c r="H2" i="2"/>
  <c r="E7" i="2"/>
  <c r="E6" i="2"/>
  <c r="E4" i="2"/>
  <c r="E3" i="2"/>
  <c r="J10" i="10" l="1"/>
  <c r="I10" i="10"/>
  <c r="I11" i="10" s="1"/>
  <c r="I12" i="10" s="1"/>
  <c r="I13" i="10" s="1"/>
  <c r="I14" i="10" s="1"/>
  <c r="J10" i="3"/>
  <c r="J11" i="3" s="1"/>
  <c r="J12" i="3" s="1"/>
  <c r="J13" i="3" s="1"/>
  <c r="J14" i="3" s="1"/>
  <c r="J7" i="17"/>
  <c r="J3" i="17"/>
  <c r="J8" i="17"/>
  <c r="K3" i="17"/>
  <c r="I3" i="17"/>
  <c r="K7" i="17"/>
  <c r="J4" i="17"/>
  <c r="I7" i="17"/>
  <c r="Q3" i="9"/>
  <c r="V4" i="3"/>
  <c r="V4" i="10"/>
  <c r="U4" i="3"/>
  <c r="U4" i="10"/>
  <c r="G6" i="10"/>
  <c r="P5" i="10"/>
  <c r="U5" i="10" s="1"/>
  <c r="U7" i="9" a="1"/>
  <c r="J11" i="10" l="1"/>
  <c r="J12" i="10" s="1"/>
  <c r="J13" i="10" s="1"/>
  <c r="J14" i="10" s="1"/>
  <c r="U3" i="9" a="1"/>
  <c r="U3" i="9" s="1"/>
  <c r="U7" i="9"/>
  <c r="Q6" i="10"/>
  <c r="V6" i="10" s="1"/>
  <c r="P6" i="10"/>
  <c r="U6" i="10" s="1"/>
  <c r="G7" i="10"/>
  <c r="L4" i="3" l="1" a="1"/>
  <c r="L4" i="3" s="1"/>
  <c r="N4" i="3" a="1"/>
  <c r="N4" i="3" s="1"/>
  <c r="Q7" i="10"/>
  <c r="V7" i="10" s="1"/>
  <c r="P7" i="10"/>
  <c r="U7" i="10" s="1"/>
  <c r="G8" i="10"/>
  <c r="Y3" i="9" a="1"/>
  <c r="Q8" i="10" l="1"/>
  <c r="V8" i="10" s="1"/>
  <c r="P8" i="10"/>
  <c r="U8" i="10" s="1"/>
  <c r="G9" i="10"/>
  <c r="Y3" i="9"/>
  <c r="Y7" i="9" a="1"/>
  <c r="Q9" i="10" l="1"/>
  <c r="V9" i="10" s="1"/>
  <c r="P9" i="10"/>
  <c r="U9" i="10" s="1"/>
  <c r="G10" i="10"/>
  <c r="AC3" i="9" a="1"/>
  <c r="Y7" i="9"/>
  <c r="G11" i="10" l="1"/>
  <c r="P10" i="10"/>
  <c r="U10" i="10" s="1"/>
  <c r="Q10" i="10"/>
  <c r="V10" i="10" s="1"/>
  <c r="AC3" i="9"/>
  <c r="I3" i="9" s="1"/>
  <c r="K4" i="9"/>
  <c r="K3" i="9"/>
  <c r="K5" i="9"/>
  <c r="J4" i="9"/>
  <c r="J3" i="9"/>
  <c r="AC7" i="9" a="1"/>
  <c r="J8" i="9" s="1"/>
  <c r="G12" i="10" l="1"/>
  <c r="Q11" i="10"/>
  <c r="V11" i="10" s="1"/>
  <c r="P11" i="10"/>
  <c r="U11" i="10" s="1"/>
  <c r="K9" i="9"/>
  <c r="K7" i="9"/>
  <c r="J9" i="9"/>
  <c r="K8" i="9"/>
  <c r="J7" i="9"/>
  <c r="I9" i="9"/>
  <c r="I8" i="9"/>
  <c r="I5" i="9"/>
  <c r="I4" i="9"/>
  <c r="J5" i="9"/>
  <c r="AC7" i="9"/>
  <c r="I7" i="9" s="1"/>
  <c r="P12" i="10" l="1"/>
  <c r="U12" i="10" s="1"/>
  <c r="G13" i="10"/>
  <c r="Q12" i="10"/>
  <c r="V12" i="10" s="1"/>
  <c r="P13" i="10" l="1"/>
  <c r="U13" i="10" s="1"/>
  <c r="Q13" i="10"/>
  <c r="V13" i="10" s="1"/>
  <c r="G14" i="10"/>
  <c r="Q14" i="10" l="1"/>
  <c r="V14" i="10" s="1"/>
  <c r="P14" i="10"/>
  <c r="U14" i="10" s="1"/>
  <c r="I2" i="15" l="1" a="1"/>
  <c r="I2" i="15" s="1"/>
  <c r="F2" i="15" a="1"/>
  <c r="F2" i="15" s="1"/>
  <c r="K2" i="15" a="1"/>
  <c r="K2" i="15" s="1"/>
  <c r="E2" i="15" a="1"/>
  <c r="E2" i="15" s="1"/>
  <c r="J2" i="15" a="1"/>
  <c r="J2" i="15" s="1"/>
  <c r="G2" i="15" a="1"/>
  <c r="G2" i="15" s="1"/>
  <c r="L2" i="15" a="1"/>
  <c r="L2" i="15" s="1"/>
  <c r="D2" i="15" a="1"/>
  <c r="D2" i="15" s="1"/>
  <c r="G5" i="3" l="1"/>
  <c r="G6" i="3" l="1"/>
  <c r="P5" i="3"/>
  <c r="U5" i="3" s="1"/>
  <c r="Q5" i="3"/>
  <c r="V5" i="3" s="1"/>
  <c r="G7" i="3" l="1"/>
  <c r="Q6" i="3"/>
  <c r="V6" i="3" s="1"/>
  <c r="P6" i="3"/>
  <c r="U6" i="3" s="1"/>
  <c r="G8" i="3" l="1"/>
  <c r="P7" i="3"/>
  <c r="U7" i="3" s="1"/>
  <c r="Q7" i="3"/>
  <c r="V7" i="3" s="1"/>
  <c r="P8" i="3" l="1"/>
  <c r="U8" i="3" s="1"/>
  <c r="Q8" i="3"/>
  <c r="V8" i="3" s="1"/>
  <c r="G9" i="3"/>
  <c r="Q9" i="3" l="1"/>
  <c r="V9" i="3" s="1"/>
  <c r="P9" i="3"/>
  <c r="U9" i="3" s="1"/>
  <c r="G10" i="3"/>
  <c r="Q10" i="3" l="1"/>
  <c r="V10" i="3" s="1"/>
  <c r="P10" i="3"/>
  <c r="U10" i="3" s="1"/>
  <c r="G11" i="3"/>
  <c r="Q11" i="3" l="1"/>
  <c r="V11" i="3" s="1"/>
  <c r="P11" i="3"/>
  <c r="U11" i="3" s="1"/>
  <c r="G12" i="3"/>
  <c r="Q12" i="3" l="1"/>
  <c r="V12" i="3" s="1"/>
  <c r="P12" i="3"/>
  <c r="U12" i="3" s="1"/>
  <c r="G13" i="3"/>
  <c r="P13" i="3" l="1"/>
  <c r="U13" i="3" s="1"/>
  <c r="Q13" i="3"/>
  <c r="V13" i="3" s="1"/>
  <c r="G14" i="3"/>
  <c r="Q14" i="3" l="1"/>
  <c r="V14" i="3" s="1"/>
  <c r="Y3" i="3" s="1" a="1"/>
  <c r="Y3" i="3" s="1"/>
  <c r="P14" i="3"/>
  <c r="U14" i="3" s="1"/>
  <c r="Y2" i="3" s="1" a="1"/>
  <c r="Y2" i="3" s="1"/>
  <c r="C2" i="15" l="1" a="1"/>
  <c r="C2" i="15" s="1"/>
  <c r="H2" i="15" a="1"/>
  <c r="H2" i="15" s="1"/>
  <c r="E5" i="5"/>
  <c r="F5" i="5"/>
  <c r="G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<sst xmlns="http://schemas.openxmlformats.org/spreadsheetml/2006/main" count="320" uniqueCount="159">
  <si>
    <t>param</t>
  </si>
  <si>
    <t>base_case</t>
  </si>
  <si>
    <t>formula</t>
  </si>
  <si>
    <t>description</t>
  </si>
  <si>
    <t>source</t>
  </si>
  <si>
    <t>distribution</t>
  </si>
  <si>
    <t>Probability of Healthy-Sick Transition - Treatment B</t>
  </si>
  <si>
    <t>p_SD</t>
  </si>
  <si>
    <t>n_age_init</t>
  </si>
  <si>
    <t>Age at baseline</t>
  </si>
  <si>
    <t xml:space="preserve">Modeling  Parameter </t>
  </si>
  <si>
    <t>n_age_max</t>
  </si>
  <si>
    <t>Maximum age of followup</t>
  </si>
  <si>
    <t>d_c</t>
  </si>
  <si>
    <t>Annual discount rate for costs</t>
  </si>
  <si>
    <t>d_e</t>
  </si>
  <si>
    <t>Annual discount rate for QALYs</t>
  </si>
  <si>
    <t>c_H</t>
  </si>
  <si>
    <t>Annual cost of healthy (H)</t>
  </si>
  <si>
    <t>c_S</t>
  </si>
  <si>
    <t>Annual cost of sick (S)</t>
  </si>
  <si>
    <t>Graves et al. (2022)</t>
  </si>
  <si>
    <t>c_D</t>
  </si>
  <si>
    <t>Annual cost of death (D)</t>
  </si>
  <si>
    <t>u_H</t>
  </si>
  <si>
    <t>Utility weight of healthy (H)</t>
  </si>
  <si>
    <t>Leech et al. (2022)</t>
  </si>
  <si>
    <t>u_S</t>
  </si>
  <si>
    <t>Utility weight of sick (S)</t>
  </si>
  <si>
    <t>u_D</t>
  </si>
  <si>
    <t>Utility weight of death (D)</t>
  </si>
  <si>
    <t>Martin et al. (2022)</t>
  </si>
  <si>
    <t>Assumption</t>
  </si>
  <si>
    <t>n_cycles</t>
  </si>
  <si>
    <t>(n_age_max - n_age_init)</t>
  </si>
  <si>
    <t>Time horizon</t>
  </si>
  <si>
    <t>state</t>
  </si>
  <si>
    <t>strategy</t>
  </si>
  <si>
    <t>costs_fmla</t>
  </si>
  <si>
    <t>costs_var</t>
  </si>
  <si>
    <t>costs_val</t>
  </si>
  <si>
    <t>qalys_fmla</t>
  </si>
  <si>
    <t>qalys_var</t>
  </si>
  <si>
    <t>qalys_val</t>
  </si>
  <si>
    <t>Healthy</t>
  </si>
  <si>
    <t>A</t>
  </si>
  <si>
    <t>Sick</t>
  </si>
  <si>
    <t xml:space="preserve">c_S </t>
  </si>
  <si>
    <t>Dead</t>
  </si>
  <si>
    <t>B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</si>
  <si>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</si>
  <si>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</si>
  <si>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</si>
  <si>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</si>
  <si>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</si>
  <si>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</si>
  <si>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</si>
  <si>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Discounted Costs</t>
  </si>
  <si>
    <t>Strategy</t>
  </si>
  <si>
    <t>from</t>
  </si>
  <si>
    <t>Cycle</t>
  </si>
  <si>
    <t>Discounted QALYs</t>
  </si>
  <si>
    <t>Payoffs</t>
  </si>
  <si>
    <t>costs</t>
  </si>
  <si>
    <t>qalys</t>
  </si>
  <si>
    <t>Cost</t>
  </si>
  <si>
    <t>Effect</t>
  </si>
  <si>
    <t>Incremental Cost</t>
  </si>
  <si>
    <t>Incremental Effect</t>
  </si>
  <si>
    <t>ICER</t>
  </si>
  <si>
    <t>Status</t>
  </si>
  <si>
    <t>1 - p_SD</t>
  </si>
  <si>
    <t>-(r_HS + r_HD)</t>
  </si>
  <si>
    <t>r_HS</t>
  </si>
  <si>
    <t>r_HD</t>
  </si>
  <si>
    <t>-(hr_S * r_HD)</t>
  </si>
  <si>
    <t>hr_S * r_HD</t>
  </si>
  <si>
    <t>0</t>
  </si>
  <si>
    <t>hr_S</t>
  </si>
  <si>
    <t>lognormal(meanlog = log(3), sdlog = 0.01)</t>
  </si>
  <si>
    <t>gamma(shape = 30,rate = 200)</t>
  </si>
  <si>
    <t>gamma(shape = 12, scale = 83.3)</t>
  </si>
  <si>
    <t>gamma(shape = 12.5, scale = 2)</t>
  </si>
  <si>
    <t>gamma(shape = 44.4, scale = 22.5)</t>
  </si>
  <si>
    <t>beta(shape1 = 200, shape2 = 3)</t>
  </si>
  <si>
    <t>beta(shape1 = 130, shape2 = 45)</t>
  </si>
  <si>
    <t>Annual disease onset transition rate</t>
  </si>
  <si>
    <t>Hazard ratio of death in S vs. H</t>
  </si>
  <si>
    <t>Reduction in rate of disease progression (HS) as hazard ratio (HR)</t>
  </si>
  <si>
    <t>n_sim</t>
  </si>
  <si>
    <t>Number of PSA samples</t>
  </si>
  <si>
    <t>hr_HS_trtB</t>
  </si>
  <si>
    <t>gamma(shape = 36.144, scale = 83)</t>
  </si>
  <si>
    <t>notes</t>
  </si>
  <si>
    <t>Derived from embedded transition matrix</t>
  </si>
  <si>
    <r>
      <t>Transition Probability Matrix (exponential of rate matrix, obtained via a Taylor series expansion</t>
    </r>
    <r>
      <rPr>
        <sz val="12"/>
        <color theme="1"/>
        <rFont val="Calibri"/>
        <family val="2"/>
        <scheme val="minor"/>
      </rPr>
      <t>)</t>
    </r>
  </si>
  <si>
    <t>Binary Matrix</t>
  </si>
  <si>
    <t>Rate Matrix ^ 1</t>
  </si>
  <si>
    <t>Rate Matrix ^2</t>
  </si>
  <si>
    <t>Rate Matrix ^3</t>
  </si>
  <si>
    <t>Rate Matrix ^4</t>
  </si>
  <si>
    <t>Sicker</t>
  </si>
  <si>
    <t>Transition Rate Matrix</t>
  </si>
  <si>
    <t>m_trtA</t>
  </si>
  <si>
    <t>m_trtB</t>
  </si>
  <si>
    <t>Initial ICERS: Sort strategies by cost (least costly first, most costly last)</t>
  </si>
  <si>
    <t>https://ebrary.net/192839/health/calculation_icers</t>
  </si>
  <si>
    <t>w_c_disc</t>
  </si>
  <si>
    <t>w_e_disc</t>
  </si>
  <si>
    <t>w_simp</t>
  </si>
  <si>
    <t>lognormal(meanlog = log(0.96), sdlog = 0.02)</t>
  </si>
  <si>
    <t>https://www.contextures.com/exceldatatables.html#:~:text=Because%20the%20data%20table%20values,values%2C%20follow%20the%20steps%20below.</t>
  </si>
  <si>
    <t>Costs</t>
  </si>
  <si>
    <t>QALYs</t>
  </si>
  <si>
    <t>n_cycle_length</t>
  </si>
  <si>
    <t>Cycle length</t>
  </si>
  <si>
    <t>p_HS</t>
  </si>
  <si>
    <t>p_HD</t>
  </si>
  <si>
    <t>hr_HS_trt</t>
  </si>
  <si>
    <t>c_trt</t>
  </si>
  <si>
    <t>c_nonfatal_firstYr</t>
  </si>
  <si>
    <t>c_fatal_firstYr</t>
  </si>
  <si>
    <t>Cost of treatment</t>
  </si>
  <si>
    <t>Cost of first-year nonfatal disease event</t>
  </si>
  <si>
    <t>Cost of first-year fatal disease event</t>
  </si>
  <si>
    <t>Probability of Healthy-Sick Transition - No Treatment</t>
  </si>
  <si>
    <t>p_HS_trt</t>
  </si>
  <si>
    <t>-(r_HS * hr_HS_trt + r_HD)</t>
  </si>
  <si>
    <t>hr_HS_trt * r_HS</t>
  </si>
  <si>
    <t>quo</t>
  </si>
  <si>
    <t>trt</t>
  </si>
  <si>
    <t>1-p_HS-p_HD</t>
  </si>
  <si>
    <t>1-p_HS_trt-p_HD_trt</t>
  </si>
  <si>
    <t>p_HD_trt</t>
  </si>
  <si>
    <t>c_H + c_trt</t>
  </si>
  <si>
    <t>c_H_quo</t>
  </si>
  <si>
    <t>c_S_quo</t>
  </si>
  <si>
    <t>c_D_quo</t>
  </si>
  <si>
    <t>c_H_trt</t>
  </si>
  <si>
    <t>c_S_trt</t>
  </si>
  <si>
    <t>c_D_trt</t>
  </si>
  <si>
    <t>u_H_quo</t>
  </si>
  <si>
    <t>u_S_quo</t>
  </si>
  <si>
    <t>u_D_quo</t>
  </si>
  <si>
    <t>u_H_trt</t>
  </si>
  <si>
    <t>u_S_trt</t>
  </si>
  <si>
    <t>u_D_trt</t>
  </si>
  <si>
    <t>Age</t>
  </si>
  <si>
    <t>dx</t>
  </si>
  <si>
    <t>qx</t>
  </si>
  <si>
    <t>lx</t>
  </si>
  <si>
    <t>tot_cost_trt</t>
  </si>
  <si>
    <t>w_c_quo</t>
  </si>
  <si>
    <t>w_e_quo</t>
  </si>
  <si>
    <t>tot_cost_quo</t>
  </si>
  <si>
    <t>tot_qaly_quo</t>
  </si>
  <si>
    <t>tot_qaly_trt</t>
  </si>
  <si>
    <t>w_c_trt</t>
  </si>
  <si>
    <t>w_e_trt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</si>
</sst>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0.000"/>
    <numFmt numFmtId="166" formatCode="_(* #,##0_);_(* \(#,##0\);_(* &quot;-&quot;??_);_(@_)"/>
    <numFmt numFmtId="167" formatCode="0.0000"/>
    <numFmt numFmtId="168" formatCode="0.000000000000000"/>
    <numFmt numFmtId="169" formatCode="0.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1" xfId="0" applyFont="1" applyFill="1" applyBorder="1" applyAlignment="1">
      <alignment horizontal="right"/>
    </xf>
    <xf numFmtId="0" fontId="0" fillId="2" borderId="0" xfId="0" applyFill="1"/>
    <xf numFmtId="0" fontId="0" fillId="3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0" xfId="0" applyFill="1" applyAlignment="1">
      <alignment horizontal="center"/>
    </xf>
    <xf numFmtId="164" fontId="0" fillId="2" borderId="0" xfId="2" applyNumberFormat="1" applyFont="1" applyFill="1"/>
    <xf numFmtId="165" fontId="0" fillId="6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3" fillId="2" borderId="4" xfId="0" applyFont="1" applyFill="1" applyBorder="1"/>
    <xf numFmtId="166" fontId="4" fillId="7" borderId="0" xfId="1" applyNumberFormat="1" applyFont="1" applyFill="1"/>
    <xf numFmtId="165" fontId="4" fillId="7" borderId="0" xfId="0" applyNumberFormat="1" applyFont="1" applyFill="1"/>
    <xf numFmtId="165" fontId="0" fillId="2" borderId="0" xfId="0" applyNumberFormat="1" applyFill="1"/>
    <xf numFmtId="166" fontId="0" fillId="2" borderId="0" xfId="1" applyNumberFormat="1" applyFont="1" applyFill="1"/>
    <xf numFmtId="167" fontId="0" fillId="2" borderId="0" xfId="0" applyNumberFormat="1" applyFill="1"/>
    <xf numFmtId="49" fontId="0" fillId="4" borderId="3" xfId="0" applyNumberFormat="1" applyFill="1" applyBorder="1"/>
    <xf numFmtId="49" fontId="0" fillId="2" borderId="3" xfId="0" applyNumberFormat="1" applyFill="1" applyBorder="1"/>
    <xf numFmtId="0" fontId="0" fillId="2" borderId="4" xfId="0" applyFill="1" applyBorder="1"/>
    <xf numFmtId="0" fontId="0" fillId="2" borderId="0" xfId="0" applyFill="1" applyAlignment="1">
      <alignment wrapText="1"/>
    </xf>
    <xf numFmtId="49" fontId="3" fillId="2" borderId="4" xfId="0" applyNumberFormat="1" applyFont="1" applyFill="1" applyBorder="1"/>
    <xf numFmtId="49" fontId="3" fillId="2" borderId="4" xfId="0" applyNumberFormat="1" applyFont="1" applyFill="1" applyBorder="1" applyAlignment="1">
      <alignment wrapText="1"/>
    </xf>
    <xf numFmtId="49" fontId="3" fillId="2" borderId="0" xfId="0" applyNumberFormat="1" applyFont="1" applyFill="1" applyAlignment="1">
      <alignment wrapText="1"/>
    </xf>
    <xf numFmtId="168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wrapText="1"/>
    </xf>
    <xf numFmtId="1" fontId="0" fillId="2" borderId="3" xfId="0" applyNumberFormat="1" applyFill="1" applyBorder="1"/>
    <xf numFmtId="49" fontId="3" fillId="2" borderId="0" xfId="0" applyNumberFormat="1" applyFont="1" applyFill="1"/>
    <xf numFmtId="0" fontId="3" fillId="2" borderId="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0" fillId="6" borderId="0" xfId="0" applyFill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9" fontId="0" fillId="2" borderId="0" xfId="0" applyNumberFormat="1" applyFill="1"/>
    <xf numFmtId="169" fontId="0" fillId="2" borderId="3" xfId="0" applyNumberFormat="1" applyFill="1" applyBorder="1"/>
    <xf numFmtId="11" fontId="0" fillId="2" borderId="3" xfId="0" applyNumberFormat="1" applyFill="1" applyBorder="1"/>
    <xf numFmtId="11" fontId="0" fillId="2" borderId="0" xfId="0" applyNumberFormat="1" applyFill="1"/>
    <xf numFmtId="49" fontId="0" fillId="6" borderId="0" xfId="0" applyNumberFormat="1" applyFill="1" applyAlignment="1">
      <alignment wrapText="1"/>
    </xf>
    <xf numFmtId="167" fontId="0" fillId="6" borderId="3" xfId="0" applyNumberFormat="1" applyFill="1" applyBorder="1"/>
    <xf numFmtId="49" fontId="3" fillId="6" borderId="0" xfId="0" applyNumberFormat="1" applyFont="1" applyFill="1" applyAlignment="1">
      <alignment wrapText="1"/>
    </xf>
    <xf numFmtId="167" fontId="0" fillId="6" borderId="0" xfId="0" applyNumberFormat="1" applyFill="1"/>
    <xf numFmtId="0" fontId="3" fillId="6" borderId="1" xfId="0" applyFont="1" applyFill="1" applyBorder="1"/>
    <xf numFmtId="166" fontId="0" fillId="8" borderId="0" xfId="1" applyNumberFormat="1" applyFont="1" applyFill="1"/>
    <xf numFmtId="165" fontId="0" fillId="8" borderId="0" xfId="0" applyNumberFormat="1" applyFill="1"/>
    <xf numFmtId="0" fontId="6" fillId="2" borderId="0" xfId="3" applyFill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1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textures.com/exceldatat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CA9D-55FE-1643-AFEB-17CD5D00CDFE}">
  <dimension ref="A1:G22"/>
  <sheetViews>
    <sheetView zoomScale="95" zoomScaleNormal="95" workbookViewId="0">
      <selection activeCell="A20" sqref="A20:B21"/>
    </sheetView>
  </sheetViews>
  <sheetFormatPr baseColWidth="10" defaultRowHeight="16" x14ac:dyDescent="0.2"/>
  <cols>
    <col min="1" max="1" width="13" style="2" customWidth="1"/>
    <col min="2" max="2" width="21.83203125" style="2" customWidth="1"/>
    <col min="3" max="3" width="21.33203125" style="2" customWidth="1"/>
    <col min="4" max="4" width="64.6640625" style="2" customWidth="1"/>
    <col min="5" max="5" width="36.6640625" style="2" customWidth="1"/>
    <col min="6" max="6" width="37.33203125" style="2" customWidth="1"/>
    <col min="7" max="7" width="19.83203125" style="2" customWidth="1"/>
    <col min="8" max="1999" width="10.83203125" style="2"/>
    <col min="2000" max="2000" width="2.5" style="2" customWidth="1"/>
    <col min="2001" max="16384" width="10.83203125" style="2"/>
  </cols>
  <sheetData>
    <row r="1" spans="1: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  <c r="G1" s="11" t="s">
        <v>4</v>
      </c>
    </row>
    <row r="2" spans="1:7" x14ac:dyDescent="0.2">
      <c r="A2" s="10" t="s">
        <v>8</v>
      </c>
      <c r="B2" s="10">
        <v>55</v>
      </c>
      <c r="C2" s="10"/>
      <c r="D2" s="10" t="s">
        <v>9</v>
      </c>
      <c r="E2" s="10"/>
      <c r="F2" s="10"/>
      <c r="G2" s="10" t="s">
        <v>10</v>
      </c>
    </row>
    <row r="3" spans="1:7" x14ac:dyDescent="0.2">
      <c r="A3" s="10" t="s">
        <v>11</v>
      </c>
      <c r="B3" s="10">
        <v>65</v>
      </c>
      <c r="C3" s="10"/>
      <c r="D3" s="10" t="s">
        <v>12</v>
      </c>
      <c r="E3" s="10"/>
      <c r="F3" s="10"/>
      <c r="G3" s="10" t="s">
        <v>10</v>
      </c>
    </row>
    <row r="4" spans="1:7" x14ac:dyDescent="0.2">
      <c r="A4" s="10" t="s">
        <v>13</v>
      </c>
      <c r="B4" s="10">
        <v>0.03</v>
      </c>
      <c r="C4" s="10"/>
      <c r="D4" s="10" t="s">
        <v>14</v>
      </c>
      <c r="E4" s="10"/>
      <c r="F4" s="10"/>
      <c r="G4" s="10" t="s">
        <v>10</v>
      </c>
    </row>
    <row r="5" spans="1:7" x14ac:dyDescent="0.2">
      <c r="A5" s="10" t="s">
        <v>15</v>
      </c>
      <c r="B5" s="10">
        <v>0.03</v>
      </c>
      <c r="C5" s="10"/>
      <c r="D5" s="10" t="s">
        <v>16</v>
      </c>
      <c r="E5" s="10"/>
      <c r="F5" s="10"/>
      <c r="G5" s="10" t="s">
        <v>10</v>
      </c>
    </row>
    <row r="6" spans="1:7" x14ac:dyDescent="0.2">
      <c r="A6" s="10" t="s">
        <v>89</v>
      </c>
      <c r="B6" s="10">
        <v>1000</v>
      </c>
      <c r="C6" s="10"/>
      <c r="D6" s="10" t="s">
        <v>90</v>
      </c>
      <c r="E6" s="10"/>
      <c r="F6" s="10"/>
      <c r="G6" s="10" t="s">
        <v>10</v>
      </c>
    </row>
    <row r="7" spans="1:7" x14ac:dyDescent="0.2">
      <c r="A7" s="10" t="s">
        <v>73</v>
      </c>
      <c r="B7" s="10">
        <v>0.1</v>
      </c>
      <c r="C7" s="10"/>
      <c r="D7" s="10" t="s">
        <v>86</v>
      </c>
      <c r="E7" s="10"/>
      <c r="F7" s="10" t="s">
        <v>80</v>
      </c>
      <c r="G7" s="10"/>
    </row>
    <row r="8" spans="1:7" x14ac:dyDescent="0.2">
      <c r="A8" s="10" t="s">
        <v>78</v>
      </c>
      <c r="B8" s="10">
        <v>1.9</v>
      </c>
      <c r="C8" s="10"/>
      <c r="D8" s="10" t="s">
        <v>87</v>
      </c>
      <c r="E8" s="10"/>
      <c r="F8" s="10" t="s">
        <v>79</v>
      </c>
      <c r="G8" s="10"/>
    </row>
    <row r="9" spans="1:7" x14ac:dyDescent="0.2">
      <c r="A9" s="10" t="s">
        <v>118</v>
      </c>
      <c r="B9" s="10">
        <v>0.5</v>
      </c>
      <c r="C9" s="10"/>
      <c r="D9" s="10" t="s">
        <v>88</v>
      </c>
      <c r="E9" s="10"/>
      <c r="F9" s="10" t="s">
        <v>110</v>
      </c>
      <c r="G9" s="10"/>
    </row>
    <row r="10" spans="1:7" x14ac:dyDescent="0.2">
      <c r="A10" s="10" t="s">
        <v>24</v>
      </c>
      <c r="B10" s="10">
        <v>1</v>
      </c>
      <c r="C10" s="10"/>
      <c r="D10" s="10" t="s">
        <v>25</v>
      </c>
      <c r="E10" s="10"/>
      <c r="F10" s="52" t="s">
        <v>84</v>
      </c>
      <c r="G10" s="10" t="s">
        <v>26</v>
      </c>
    </row>
    <row r="11" spans="1:7" x14ac:dyDescent="0.2">
      <c r="A11" s="10" t="s">
        <v>27</v>
      </c>
      <c r="B11" s="10">
        <v>0.77300000000000002</v>
      </c>
      <c r="C11" s="10"/>
      <c r="D11" s="10" t="s">
        <v>28</v>
      </c>
      <c r="E11" s="10"/>
      <c r="F11" s="52" t="s">
        <v>85</v>
      </c>
      <c r="G11" s="10" t="s">
        <v>26</v>
      </c>
    </row>
    <row r="12" spans="1:7" x14ac:dyDescent="0.2">
      <c r="A12" s="10" t="s">
        <v>29</v>
      </c>
      <c r="B12" s="10">
        <v>0</v>
      </c>
      <c r="C12" s="10"/>
      <c r="D12" s="10" t="s">
        <v>30</v>
      </c>
      <c r="E12" s="10"/>
      <c r="F12" s="10"/>
      <c r="G12" s="10" t="s">
        <v>32</v>
      </c>
    </row>
    <row r="13" spans="1:7" x14ac:dyDescent="0.2">
      <c r="A13" s="10" t="s">
        <v>17</v>
      </c>
      <c r="B13" s="10">
        <v>8494</v>
      </c>
      <c r="C13" s="10"/>
      <c r="D13" s="10" t="s">
        <v>18</v>
      </c>
      <c r="E13" s="10"/>
      <c r="F13" s="10"/>
      <c r="G13" s="10" t="s">
        <v>32</v>
      </c>
    </row>
    <row r="14" spans="1:7" x14ac:dyDescent="0.2">
      <c r="A14" s="10" t="s">
        <v>19</v>
      </c>
      <c r="B14" s="10">
        <f>8494+3917</f>
        <v>12411</v>
      </c>
      <c r="C14" s="10"/>
      <c r="D14" s="10" t="s">
        <v>20</v>
      </c>
      <c r="E14" s="10"/>
      <c r="F14" s="52" t="s">
        <v>83</v>
      </c>
      <c r="G14" s="10" t="s">
        <v>21</v>
      </c>
    </row>
    <row r="15" spans="1:7" x14ac:dyDescent="0.2">
      <c r="A15" s="10" t="s">
        <v>22</v>
      </c>
      <c r="B15" s="10">
        <v>0</v>
      </c>
      <c r="C15" s="10"/>
      <c r="D15" s="10" t="s">
        <v>23</v>
      </c>
      <c r="E15" s="10"/>
      <c r="F15" s="10"/>
      <c r="G15" s="10" t="s">
        <v>32</v>
      </c>
    </row>
    <row r="16" spans="1:7" x14ac:dyDescent="0.2">
      <c r="A16" s="10" t="s">
        <v>119</v>
      </c>
      <c r="B16" s="10">
        <v>840</v>
      </c>
      <c r="C16" s="10"/>
      <c r="D16" s="10" t="s">
        <v>122</v>
      </c>
      <c r="E16" s="10"/>
      <c r="F16" s="10" t="s">
        <v>82</v>
      </c>
      <c r="G16" s="10" t="s">
        <v>31</v>
      </c>
    </row>
    <row r="17" spans="1:7" x14ac:dyDescent="0.2">
      <c r="A17" s="10" t="s">
        <v>120</v>
      </c>
      <c r="B17" s="10">
        <v>49348</v>
      </c>
      <c r="C17" s="10"/>
      <c r="D17" s="10" t="s">
        <v>123</v>
      </c>
      <c r="E17" s="10"/>
      <c r="F17" s="10" t="s">
        <v>81</v>
      </c>
      <c r="G17" s="10" t="s">
        <v>32</v>
      </c>
    </row>
    <row r="18" spans="1:7" x14ac:dyDescent="0.2">
      <c r="A18" s="10" t="s">
        <v>121</v>
      </c>
      <c r="B18" s="10">
        <v>16760</v>
      </c>
      <c r="C18" s="10"/>
      <c r="D18" s="10" t="s">
        <v>124</v>
      </c>
      <c r="E18" s="10"/>
      <c r="F18" s="10" t="s">
        <v>92</v>
      </c>
      <c r="G18" s="10" t="s">
        <v>32</v>
      </c>
    </row>
    <row r="19" spans="1:7" x14ac:dyDescent="0.2">
      <c r="A19" s="10" t="s">
        <v>114</v>
      </c>
      <c r="B19" s="10">
        <v>1</v>
      </c>
      <c r="C19" s="10"/>
      <c r="D19" s="10" t="s">
        <v>115</v>
      </c>
      <c r="E19" s="10"/>
      <c r="F19" s="10"/>
      <c r="G19" s="10" t="s">
        <v>10</v>
      </c>
    </row>
    <row r="20" spans="1:7" x14ac:dyDescent="0.2">
      <c r="A20" s="3" t="s">
        <v>116</v>
      </c>
      <c r="B20" s="3">
        <f>1-EXP(-r_HS*n_cycle_length)</f>
        <v>9.5162581964040482E-2</v>
      </c>
      <c r="C20" s="3"/>
      <c r="D20" s="3" t="s">
        <v>125</v>
      </c>
      <c r="E20" s="3" t="s">
        <v>94</v>
      </c>
      <c r="F20" s="3"/>
      <c r="G20" s="3"/>
    </row>
    <row r="21" spans="1:7" x14ac:dyDescent="0.2">
      <c r="A21" s="3" t="s">
        <v>126</v>
      </c>
      <c r="B21" s="3">
        <f>1-EXP(-r_HS*hr_HS_trt*n_cycle_length)</f>
        <v>4.8770575499285984E-2</v>
      </c>
      <c r="C21" s="3"/>
      <c r="D21" s="3" t="s">
        <v>6</v>
      </c>
      <c r="E21" s="3" t="s">
        <v>94</v>
      </c>
      <c r="F21" s="3"/>
      <c r="G21" s="3"/>
    </row>
    <row r="22" spans="1:7" x14ac:dyDescent="0.2">
      <c r="A22" s="4" t="s">
        <v>33</v>
      </c>
      <c r="B22" s="5">
        <f>(n_age_max - n_age_init)</f>
        <v>10</v>
      </c>
      <c r="C22" s="4" t="s">
        <v>34</v>
      </c>
      <c r="D22" s="4" t="s">
        <v>35</v>
      </c>
      <c r="E22" s="4"/>
      <c r="F22" s="4"/>
      <c r="G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B60C-BF2C-A74E-9CFC-12388875EADA}">
  <dimension ref="A1:E7"/>
  <sheetViews>
    <sheetView zoomScale="247" zoomScaleNormal="247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24.83203125" style="2" customWidth="1"/>
    <col min="4" max="5" width="16" style="2" customWidth="1"/>
    <col min="6" max="16384" width="10.83203125" style="2"/>
  </cols>
  <sheetData>
    <row r="1" spans="1:5" x14ac:dyDescent="0.2">
      <c r="A1" s="27" t="s">
        <v>37</v>
      </c>
      <c r="B1" s="27" t="s">
        <v>59</v>
      </c>
      <c r="C1" s="27" t="s">
        <v>44</v>
      </c>
      <c r="D1" s="27" t="s">
        <v>46</v>
      </c>
      <c r="E1" s="27" t="s">
        <v>48</v>
      </c>
    </row>
    <row r="2" spans="1:5" x14ac:dyDescent="0.2">
      <c r="A2" s="27" t="s">
        <v>129</v>
      </c>
      <c r="B2" s="27" t="s">
        <v>44</v>
      </c>
      <c r="C2" s="36" t="s">
        <v>72</v>
      </c>
      <c r="D2" s="37" t="s">
        <v>73</v>
      </c>
      <c r="E2" s="37" t="s">
        <v>74</v>
      </c>
    </row>
    <row r="3" spans="1:5" x14ac:dyDescent="0.2">
      <c r="A3" s="27" t="s">
        <v>129</v>
      </c>
      <c r="B3" s="27" t="s">
        <v>46</v>
      </c>
      <c r="C3" s="37">
        <v>0</v>
      </c>
      <c r="D3" s="36" t="s">
        <v>75</v>
      </c>
      <c r="E3" s="37" t="s">
        <v>76</v>
      </c>
    </row>
    <row r="4" spans="1:5" x14ac:dyDescent="0.2">
      <c r="A4" s="27" t="s">
        <v>129</v>
      </c>
      <c r="B4" s="27" t="s">
        <v>48</v>
      </c>
      <c r="C4" s="37" t="s">
        <v>77</v>
      </c>
      <c r="D4" s="37" t="s">
        <v>77</v>
      </c>
      <c r="E4" s="36" t="s">
        <v>77</v>
      </c>
    </row>
    <row r="5" spans="1:5" x14ac:dyDescent="0.2">
      <c r="A5" s="27" t="s">
        <v>130</v>
      </c>
      <c r="B5" s="27" t="s">
        <v>44</v>
      </c>
      <c r="C5" s="36" t="s">
        <v>127</v>
      </c>
      <c r="D5" s="37" t="s">
        <v>128</v>
      </c>
      <c r="E5" s="37" t="s">
        <v>74</v>
      </c>
    </row>
    <row r="6" spans="1:5" x14ac:dyDescent="0.2">
      <c r="A6" s="27" t="s">
        <v>130</v>
      </c>
      <c r="B6" s="27" t="s">
        <v>46</v>
      </c>
      <c r="C6" s="37">
        <v>0</v>
      </c>
      <c r="D6" s="36" t="s">
        <v>75</v>
      </c>
      <c r="E6" s="37" t="s">
        <v>76</v>
      </c>
    </row>
    <row r="7" spans="1:5" x14ac:dyDescent="0.2">
      <c r="A7" s="27" t="s">
        <v>130</v>
      </c>
      <c r="B7" s="27" t="s">
        <v>48</v>
      </c>
      <c r="C7" s="37" t="s">
        <v>77</v>
      </c>
      <c r="D7" s="37" t="s">
        <v>77</v>
      </c>
      <c r="E7" s="3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F133-83C8-9742-8F80-EFE1E4C391AB}">
  <dimension ref="A1:E7"/>
  <sheetViews>
    <sheetView zoomScale="216" zoomScaleNormal="216" workbookViewId="0">
      <selection activeCell="D2" sqref="D2"/>
    </sheetView>
  </sheetViews>
  <sheetFormatPr baseColWidth="10" defaultRowHeight="16" x14ac:dyDescent="0.2"/>
  <cols>
    <col min="1" max="2" width="10.83203125" style="2"/>
    <col min="3" max="3" width="20.1640625" style="2" customWidth="1"/>
    <col min="4" max="5" width="16.6640625" style="2" customWidth="1"/>
    <col min="6" max="16384" width="10.83203125" style="2"/>
  </cols>
  <sheetData>
    <row r="1" spans="1:5" ht="17" thickBot="1" x14ac:dyDescent="0.25">
      <c r="A1" s="17" t="s">
        <v>37</v>
      </c>
      <c r="B1" s="17" t="s">
        <v>59</v>
      </c>
      <c r="C1" s="17" t="s">
        <v>44</v>
      </c>
      <c r="D1" s="17" t="s">
        <v>46</v>
      </c>
      <c r="E1" s="17" t="s">
        <v>48</v>
      </c>
    </row>
    <row r="2" spans="1:5" x14ac:dyDescent="0.2">
      <c r="A2" s="19" t="s">
        <v>129</v>
      </c>
      <c r="B2" s="19" t="s">
        <v>44</v>
      </c>
      <c r="C2" s="20" t="s">
        <v>131</v>
      </c>
      <c r="D2" s="21" t="s">
        <v>116</v>
      </c>
      <c r="E2" s="21" t="s">
        <v>117</v>
      </c>
    </row>
    <row r="3" spans="1:5" x14ac:dyDescent="0.2">
      <c r="A3" s="27" t="s">
        <v>129</v>
      </c>
      <c r="B3" s="27" t="s">
        <v>46</v>
      </c>
      <c r="C3" s="28">
        <v>0</v>
      </c>
      <c r="D3" s="29" t="s">
        <v>71</v>
      </c>
      <c r="E3" s="28" t="s">
        <v>7</v>
      </c>
    </row>
    <row r="4" spans="1:5" x14ac:dyDescent="0.2">
      <c r="A4" s="27" t="s">
        <v>129</v>
      </c>
      <c r="B4" s="27" t="s">
        <v>48</v>
      </c>
      <c r="C4" s="28">
        <v>0</v>
      </c>
      <c r="D4" s="28">
        <v>0</v>
      </c>
      <c r="E4" s="29">
        <v>1</v>
      </c>
    </row>
    <row r="5" spans="1:5" x14ac:dyDescent="0.2">
      <c r="A5" s="19" t="s">
        <v>130</v>
      </c>
      <c r="B5" s="19" t="s">
        <v>44</v>
      </c>
      <c r="C5" s="20" t="s">
        <v>132</v>
      </c>
      <c r="D5" s="21" t="s">
        <v>126</v>
      </c>
      <c r="E5" s="21" t="s">
        <v>133</v>
      </c>
    </row>
    <row r="6" spans="1:5" x14ac:dyDescent="0.2">
      <c r="A6" s="27" t="s">
        <v>130</v>
      </c>
      <c r="B6" s="27" t="s">
        <v>46</v>
      </c>
      <c r="C6" s="28">
        <v>0</v>
      </c>
      <c r="D6" s="29" t="s">
        <v>71</v>
      </c>
      <c r="E6" s="28" t="s">
        <v>7</v>
      </c>
    </row>
    <row r="7" spans="1:5" x14ac:dyDescent="0.2">
      <c r="A7" s="27" t="s">
        <v>130</v>
      </c>
      <c r="B7" s="27" t="s">
        <v>48</v>
      </c>
      <c r="C7" s="28">
        <v>0</v>
      </c>
      <c r="D7" s="28">
        <v>0</v>
      </c>
      <c r="E7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27F6-0068-0E49-B1F6-A6FC329B5CE2}">
  <dimension ref="A1:H7"/>
  <sheetViews>
    <sheetView zoomScale="179" zoomScaleNormal="179" workbookViewId="0">
      <selection activeCell="G2" sqref="G2:H7"/>
    </sheetView>
  </sheetViews>
  <sheetFormatPr baseColWidth="10" defaultRowHeight="16" x14ac:dyDescent="0.2"/>
  <cols>
    <col min="1" max="2" width="10.83203125" style="6"/>
    <col min="3" max="5" width="15.33203125" style="6" customWidth="1"/>
    <col min="6" max="7" width="10.83203125" style="6"/>
    <col min="8" max="8" width="16.1640625" style="6" customWidth="1"/>
    <col min="9" max="16384" width="10.83203125" style="6"/>
  </cols>
  <sheetData>
    <row r="1" spans="1:8" ht="17" thickBot="1" x14ac:dyDescent="0.25">
      <c r="A1" s="1" t="s">
        <v>36</v>
      </c>
      <c r="B1" s="1" t="s">
        <v>37</v>
      </c>
      <c r="C1" s="54" t="s">
        <v>38</v>
      </c>
      <c r="D1" s="53" t="s">
        <v>39</v>
      </c>
      <c r="E1" s="53" t="s">
        <v>40</v>
      </c>
      <c r="F1" s="54" t="s">
        <v>41</v>
      </c>
      <c r="G1" s="53" t="s">
        <v>42</v>
      </c>
      <c r="H1" s="53" t="s">
        <v>43</v>
      </c>
    </row>
    <row r="2" spans="1:8" x14ac:dyDescent="0.2">
      <c r="A2" s="7" t="s">
        <v>44</v>
      </c>
      <c r="B2" s="7" t="s">
        <v>129</v>
      </c>
      <c r="C2" s="55" t="s">
        <v>17</v>
      </c>
      <c r="D2" s="8" t="s">
        <v>135</v>
      </c>
      <c r="E2" s="8">
        <f>c_H</f>
        <v>8494</v>
      </c>
      <c r="F2" s="55" t="s">
        <v>24</v>
      </c>
      <c r="G2" s="8" t="s">
        <v>141</v>
      </c>
      <c r="H2" s="8">
        <f>u_H</f>
        <v>1</v>
      </c>
    </row>
    <row r="3" spans="1:8" x14ac:dyDescent="0.2">
      <c r="A3" s="9" t="s">
        <v>46</v>
      </c>
      <c r="B3" s="7" t="s">
        <v>129</v>
      </c>
      <c r="C3" s="4" t="s">
        <v>47</v>
      </c>
      <c r="D3" s="10" t="s">
        <v>136</v>
      </c>
      <c r="E3" s="10">
        <f>c_S</f>
        <v>12411</v>
      </c>
      <c r="F3" s="4" t="s">
        <v>27</v>
      </c>
      <c r="G3" s="10" t="s">
        <v>142</v>
      </c>
      <c r="H3" s="10">
        <f>u_S</f>
        <v>0.77300000000000002</v>
      </c>
    </row>
    <row r="4" spans="1:8" x14ac:dyDescent="0.2">
      <c r="A4" s="9" t="s">
        <v>48</v>
      </c>
      <c r="B4" s="7" t="s">
        <v>129</v>
      </c>
      <c r="C4" s="4" t="s">
        <v>22</v>
      </c>
      <c r="D4" s="10" t="s">
        <v>137</v>
      </c>
      <c r="E4" s="10">
        <f>c_D</f>
        <v>0</v>
      </c>
      <c r="F4" s="4" t="s">
        <v>29</v>
      </c>
      <c r="G4" s="10" t="s">
        <v>143</v>
      </c>
      <c r="H4" s="10">
        <f>u_D</f>
        <v>0</v>
      </c>
    </row>
    <row r="5" spans="1:8" x14ac:dyDescent="0.2">
      <c r="A5" s="9" t="s">
        <v>44</v>
      </c>
      <c r="B5" s="9" t="s">
        <v>130</v>
      </c>
      <c r="C5" s="4" t="s">
        <v>134</v>
      </c>
      <c r="D5" s="10" t="s">
        <v>138</v>
      </c>
      <c r="E5" s="10">
        <f>c_H + c_trt</f>
        <v>9334</v>
      </c>
      <c r="F5" s="4" t="s">
        <v>24</v>
      </c>
      <c r="G5" s="10" t="s">
        <v>144</v>
      </c>
      <c r="H5" s="10">
        <f>u_H</f>
        <v>1</v>
      </c>
    </row>
    <row r="6" spans="1:8" x14ac:dyDescent="0.2">
      <c r="A6" s="9" t="s">
        <v>46</v>
      </c>
      <c r="B6" s="9" t="s">
        <v>130</v>
      </c>
      <c r="C6" s="4" t="s">
        <v>19</v>
      </c>
      <c r="D6" s="10" t="s">
        <v>139</v>
      </c>
      <c r="E6" s="10">
        <f>c_S</f>
        <v>12411</v>
      </c>
      <c r="F6" s="4" t="s">
        <v>27</v>
      </c>
      <c r="G6" s="10" t="s">
        <v>145</v>
      </c>
      <c r="H6" s="10">
        <f>u_S</f>
        <v>0.77300000000000002</v>
      </c>
    </row>
    <row r="7" spans="1:8" x14ac:dyDescent="0.2">
      <c r="A7" s="9" t="s">
        <v>48</v>
      </c>
      <c r="B7" s="9" t="s">
        <v>130</v>
      </c>
      <c r="C7" s="4" t="s">
        <v>22</v>
      </c>
      <c r="D7" s="10" t="s">
        <v>140</v>
      </c>
      <c r="E7" s="10">
        <f>c_D</f>
        <v>0</v>
      </c>
      <c r="F7" s="4" t="s">
        <v>29</v>
      </c>
      <c r="G7" s="10" t="s">
        <v>146</v>
      </c>
      <c r="H7" s="10">
        <f>u_D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D65-D3EA-C149-8D5D-49F873F24AD0}">
  <dimension ref="A1:D102"/>
  <sheetViews>
    <sheetView workbookViewId="0">
      <selection activeCell="F100" sqref="F100"/>
    </sheetView>
  </sheetViews>
  <sheetFormatPr baseColWidth="10" defaultRowHeight="16" x14ac:dyDescent="0.2"/>
  <sheetData>
    <row r="1" spans="1:4" x14ac:dyDescent="0.2">
      <c r="A1" t="s">
        <v>147</v>
      </c>
      <c r="B1" t="s">
        <v>148</v>
      </c>
      <c r="C1" t="s">
        <v>149</v>
      </c>
      <c r="D1" t="s">
        <v>150</v>
      </c>
    </row>
    <row r="2" spans="1:4" x14ac:dyDescent="0.2">
      <c r="A2">
        <v>0</v>
      </c>
      <c r="B2">
        <v>483.430379144413</v>
      </c>
      <c r="C2">
        <v>4.8343037211399801E-3</v>
      </c>
      <c r="D2">
        <f>SUM(B2:B102)</f>
        <v>64807.506902666057</v>
      </c>
    </row>
    <row r="3" spans="1:4" x14ac:dyDescent="0.2">
      <c r="A3">
        <v>1</v>
      </c>
      <c r="B3">
        <v>29.588572658120398</v>
      </c>
      <c r="C3">
        <v>2.9734816893970799E-4</v>
      </c>
      <c r="D3">
        <f>SUM(B3:B102)</f>
        <v>64324.076523521646</v>
      </c>
    </row>
    <row r="4" spans="1:4" x14ac:dyDescent="0.2">
      <c r="A4">
        <v>2</v>
      </c>
      <c r="B4">
        <v>18.986157495415402</v>
      </c>
      <c r="C4">
        <v>1.90859225892884E-4</v>
      </c>
      <c r="D4">
        <f>SUM(B4:B104)</f>
        <v>64294.487950863528</v>
      </c>
    </row>
    <row r="5" spans="1:4" x14ac:dyDescent="0.2">
      <c r="A5">
        <v>3</v>
      </c>
      <c r="B5">
        <v>15.3751875625818</v>
      </c>
      <c r="C5">
        <v>1.5459055823678999E-4</v>
      </c>
      <c r="D5">
        <f t="shared" ref="D5" si="0">SUM(B5:B105)</f>
        <v>64275.501793368101</v>
      </c>
    </row>
    <row r="6" spans="1:4" x14ac:dyDescent="0.2">
      <c r="A6">
        <v>4</v>
      </c>
      <c r="B6">
        <v>11.7239856460568</v>
      </c>
      <c r="C6">
        <v>1.17898398962542E-4</v>
      </c>
      <c r="D6">
        <f t="shared" ref="D6" si="1">SUM(B6:B105)</f>
        <v>64260.126605805526</v>
      </c>
    </row>
    <row r="7" spans="1:4" x14ac:dyDescent="0.2">
      <c r="A7">
        <v>5</v>
      </c>
      <c r="B7">
        <v>10.9212058574997</v>
      </c>
      <c r="C7">
        <v>1.09839024446491E-4</v>
      </c>
      <c r="D7">
        <f t="shared" ref="D7:D8" si="2">SUM(B7:B107)</f>
        <v>64248.402620159475</v>
      </c>
    </row>
    <row r="8" spans="1:4" x14ac:dyDescent="0.2">
      <c r="A8">
        <v>6</v>
      </c>
      <c r="B8">
        <v>9.7521255483998797</v>
      </c>
      <c r="C8" s="73">
        <v>9.8092384602774604E-5</v>
      </c>
      <c r="D8">
        <f t="shared" si="2"/>
        <v>64237.481414301968</v>
      </c>
    </row>
    <row r="9" spans="1:4" x14ac:dyDescent="0.2">
      <c r="A9">
        <v>7</v>
      </c>
      <c r="B9">
        <v>8.9683423293640203</v>
      </c>
      <c r="C9" s="73">
        <v>9.0217909725184798E-5</v>
      </c>
      <c r="D9">
        <f t="shared" ref="D9" si="3">SUM(B9:B108)</f>
        <v>64227.729288753566</v>
      </c>
    </row>
    <row r="10" spans="1:4" x14ac:dyDescent="0.2">
      <c r="A10">
        <v>8</v>
      </c>
      <c r="B10">
        <v>8.4707028412120309</v>
      </c>
      <c r="C10" s="73">
        <v>8.5219896079467895E-5</v>
      </c>
      <c r="D10">
        <f t="shared" ref="D10:D11" si="4">SUM(B10:B110)</f>
        <v>64218.760946424205</v>
      </c>
    </row>
    <row r="11" spans="1:4" x14ac:dyDescent="0.2">
      <c r="A11">
        <v>9</v>
      </c>
      <c r="B11">
        <v>8.2702409320125305</v>
      </c>
      <c r="C11" s="73">
        <v>8.3210564914765897E-5</v>
      </c>
      <c r="D11">
        <f t="shared" si="4"/>
        <v>64210.290243582996</v>
      </c>
    </row>
    <row r="12" spans="1:4" x14ac:dyDescent="0.2">
      <c r="A12">
        <v>10</v>
      </c>
      <c r="B12">
        <v>8.4493894166580006</v>
      </c>
      <c r="C12" s="73">
        <v>8.5020466508028004E-5</v>
      </c>
      <c r="D12">
        <f t="shared" ref="D12" si="5">SUM(B12:B111)</f>
        <v>64202.020002650977</v>
      </c>
    </row>
    <row r="13" spans="1:4" x14ac:dyDescent="0.2">
      <c r="A13">
        <v>11</v>
      </c>
      <c r="B13">
        <v>9.3069164645758296</v>
      </c>
      <c r="C13" s="73">
        <v>9.3657543439510001E-5</v>
      </c>
      <c r="D13">
        <f t="shared" ref="D13:D14" si="6">SUM(B13:B113)</f>
        <v>64193.570613234326</v>
      </c>
    </row>
    <row r="14" spans="1:4" x14ac:dyDescent="0.2">
      <c r="A14">
        <v>12</v>
      </c>
      <c r="B14">
        <v>11.0627266321977</v>
      </c>
      <c r="C14">
        <v>1.11337620456137E-4</v>
      </c>
      <c r="D14">
        <f t="shared" si="6"/>
        <v>64184.263696769754</v>
      </c>
    </row>
    <row r="15" spans="1:4" x14ac:dyDescent="0.2">
      <c r="A15">
        <v>13</v>
      </c>
      <c r="B15">
        <v>13.8631157449224</v>
      </c>
      <c r="C15">
        <v>1.3953765979055299E-4</v>
      </c>
      <c r="D15">
        <f t="shared" ref="D15" si="7">SUM(B15:B114)</f>
        <v>64173.200970137543</v>
      </c>
    </row>
    <row r="16" spans="1:4" x14ac:dyDescent="0.2">
      <c r="A16">
        <v>14</v>
      </c>
      <c r="B16">
        <v>17.510924276431801</v>
      </c>
      <c r="C16">
        <v>1.7628014298567E-4</v>
      </c>
      <c r="D16">
        <f t="shared" ref="D16:D17" si="8">SUM(B16:B116)</f>
        <v>64159.33785439263</v>
      </c>
    </row>
    <row r="17" spans="1:4" x14ac:dyDescent="0.2">
      <c r="A17">
        <v>15</v>
      </c>
      <c r="B17">
        <v>21.840500236027701</v>
      </c>
      <c r="C17">
        <v>2.19906178005836E-4</v>
      </c>
      <c r="D17">
        <f t="shared" si="8"/>
        <v>64141.8269301162</v>
      </c>
    </row>
    <row r="18" spans="1:4" x14ac:dyDescent="0.2">
      <c r="A18">
        <v>16</v>
      </c>
      <c r="B18">
        <v>26.2573429719111</v>
      </c>
      <c r="C18">
        <v>2.6443892305371298E-4</v>
      </c>
      <c r="D18">
        <f t="shared" ref="D18" si="9">SUM(B18:B117)</f>
        <v>64119.986429880162</v>
      </c>
    </row>
    <row r="19" spans="1:4" x14ac:dyDescent="0.2">
      <c r="A19">
        <v>17</v>
      </c>
      <c r="B19">
        <v>30.784547649483301</v>
      </c>
      <c r="C19">
        <v>3.1011826578861699E-4</v>
      </c>
      <c r="D19">
        <f t="shared" ref="D19:D20" si="10">SUM(B19:B119)</f>
        <v>64093.729086908257</v>
      </c>
    </row>
    <row r="20" spans="1:4" x14ac:dyDescent="0.2">
      <c r="A20">
        <v>18</v>
      </c>
      <c r="B20">
        <v>35.256681847820602</v>
      </c>
      <c r="C20">
        <v>3.5528482339679902E-4</v>
      </c>
      <c r="D20">
        <f t="shared" si="10"/>
        <v>64062.944539258773</v>
      </c>
    </row>
    <row r="21" spans="1:4" x14ac:dyDescent="0.2">
      <c r="A21">
        <v>19</v>
      </c>
      <c r="B21">
        <v>39.707798898348798</v>
      </c>
      <c r="C21">
        <v>4.00287660956098E-4</v>
      </c>
      <c r="D21">
        <f t="shared" ref="D21" si="11">SUM(B21:B120)</f>
        <v>64027.687857410951</v>
      </c>
    </row>
    <row r="22" spans="1:4" x14ac:dyDescent="0.2">
      <c r="A22">
        <v>20</v>
      </c>
      <c r="B22">
        <v>43.9379261111701</v>
      </c>
      <c r="C22">
        <v>4.4311612162996903E-4</v>
      </c>
      <c r="D22">
        <f t="shared" ref="D22:D23" si="12">SUM(B22:B122)</f>
        <v>63987.980058512599</v>
      </c>
    </row>
    <row r="23" spans="1:4" x14ac:dyDescent="0.2">
      <c r="A23">
        <v>21</v>
      </c>
      <c r="B23">
        <v>48.790685925761103</v>
      </c>
      <c r="C23">
        <v>4.9228660265105404E-4</v>
      </c>
      <c r="D23">
        <f t="shared" si="12"/>
        <v>63944.042132401439</v>
      </c>
    </row>
    <row r="24" spans="1:4" x14ac:dyDescent="0.2">
      <c r="A24">
        <v>22</v>
      </c>
      <c r="B24">
        <v>53.507679025464299</v>
      </c>
      <c r="C24">
        <v>5.4016051845064801E-4</v>
      </c>
      <c r="D24">
        <f t="shared" ref="D24" si="13">SUM(B24:B123)</f>
        <v>63895.251446475675</v>
      </c>
    </row>
    <row r="25" spans="1:4" x14ac:dyDescent="0.2">
      <c r="A25">
        <v>23</v>
      </c>
      <c r="B25">
        <v>57.918094309808801</v>
      </c>
      <c r="C25">
        <v>5.8501706865979396E-4</v>
      </c>
      <c r="D25">
        <f t="shared" ref="D25:D26" si="14">SUM(B25:B125)</f>
        <v>63841.743767450207</v>
      </c>
    </row>
    <row r="26" spans="1:4" x14ac:dyDescent="0.2">
      <c r="A26">
        <v>24</v>
      </c>
      <c r="B26">
        <v>62.075635410637098</v>
      </c>
      <c r="C26">
        <v>6.2739865639551101E-4</v>
      </c>
      <c r="D26">
        <f t="shared" si="14"/>
        <v>63783.825673140404</v>
      </c>
    </row>
    <row r="27" spans="1:4" x14ac:dyDescent="0.2">
      <c r="A27">
        <v>25</v>
      </c>
      <c r="B27">
        <v>64.869762274764796</v>
      </c>
      <c r="C27">
        <v>6.5607330054538596E-4</v>
      </c>
      <c r="D27">
        <f t="shared" ref="D27" si="15">SUM(B27:B126)</f>
        <v>63721.750037729762</v>
      </c>
    </row>
    <row r="28" spans="1:4" x14ac:dyDescent="0.2">
      <c r="A28">
        <v>26</v>
      </c>
      <c r="B28">
        <v>68.924580655171297</v>
      </c>
      <c r="C28">
        <v>6.9757443352898697E-4</v>
      </c>
      <c r="D28">
        <f t="shared" ref="D28:D29" si="16">SUM(B28:B128)</f>
        <v>63656.880275454991</v>
      </c>
    </row>
    <row r="29" spans="1:4" x14ac:dyDescent="0.2">
      <c r="A29">
        <v>27</v>
      </c>
      <c r="B29">
        <v>73.318649701077405</v>
      </c>
      <c r="C29">
        <v>7.4260286444791102E-4</v>
      </c>
      <c r="D29">
        <f t="shared" si="16"/>
        <v>63587.955694799828</v>
      </c>
    </row>
    <row r="30" spans="1:4" x14ac:dyDescent="0.2">
      <c r="A30">
        <v>28</v>
      </c>
      <c r="B30">
        <v>78.281108047677094</v>
      </c>
      <c r="C30">
        <v>7.9349821218782505E-4</v>
      </c>
      <c r="D30">
        <f t="shared" ref="D30" si="17">SUM(B30:B129)</f>
        <v>63514.637045098752</v>
      </c>
    </row>
    <row r="31" spans="1:4" x14ac:dyDescent="0.2">
      <c r="A31">
        <v>29</v>
      </c>
      <c r="B31">
        <v>83.772429209423507</v>
      </c>
      <c r="C31">
        <v>8.4988602726036302E-4</v>
      </c>
      <c r="D31">
        <f t="shared" ref="D31:D32" si="18">SUM(B31:B131)</f>
        <v>63436.35593705107</v>
      </c>
    </row>
    <row r="32" spans="1:4" x14ac:dyDescent="0.2">
      <c r="A32">
        <v>30</v>
      </c>
      <c r="B32">
        <v>86.938704567578796</v>
      </c>
      <c r="C32">
        <v>8.8281491011264605E-4</v>
      </c>
      <c r="D32">
        <f t="shared" si="18"/>
        <v>63352.583507841649</v>
      </c>
    </row>
    <row r="33" spans="1:4" x14ac:dyDescent="0.2">
      <c r="A33">
        <v>31</v>
      </c>
      <c r="B33">
        <v>92.698888596975607</v>
      </c>
      <c r="C33">
        <v>9.42228100853807E-4</v>
      </c>
      <c r="D33">
        <f t="shared" ref="D33" si="19">SUM(B33:B132)</f>
        <v>63265.644803274066</v>
      </c>
    </row>
    <row r="34" spans="1:4" x14ac:dyDescent="0.2">
      <c r="A34">
        <v>32</v>
      </c>
      <c r="B34">
        <v>98.504697491894305</v>
      </c>
      <c r="C34">
        <v>1.0022870391807001E-3</v>
      </c>
      <c r="D34">
        <f t="shared" ref="D34:D35" si="20">SUM(B34:B134)</f>
        <v>63172.94591467709</v>
      </c>
    </row>
    <row r="35" spans="1:4" x14ac:dyDescent="0.2">
      <c r="A35">
        <v>33</v>
      </c>
      <c r="B35">
        <v>104.23353077986</v>
      </c>
      <c r="C35">
        <v>1.06175707167974E-3</v>
      </c>
      <c r="D35">
        <f t="shared" si="20"/>
        <v>63074.441217185195</v>
      </c>
    </row>
    <row r="36" spans="1:4" x14ac:dyDescent="0.2">
      <c r="A36">
        <v>34</v>
      </c>
      <c r="B36">
        <v>109.97586010411101</v>
      </c>
      <c r="C36">
        <v>1.1215698358131099E-3</v>
      </c>
      <c r="D36">
        <f t="shared" ref="D36" si="21">SUM(B36:B135)</f>
        <v>62970.207686405345</v>
      </c>
    </row>
    <row r="37" spans="1:4" x14ac:dyDescent="0.2">
      <c r="A37">
        <v>35</v>
      </c>
      <c r="B37">
        <v>112.38021134353799</v>
      </c>
      <c r="C37">
        <v>1.14751609467385E-3</v>
      </c>
      <c r="D37">
        <f t="shared" ref="D37:D38" si="22">SUM(B37:B137)</f>
        <v>62860.231826301235</v>
      </c>
    </row>
    <row r="38" spans="1:4" x14ac:dyDescent="0.2">
      <c r="A38">
        <v>36</v>
      </c>
      <c r="B38">
        <v>118.89272583522801</v>
      </c>
      <c r="C38">
        <v>1.2156142850504501E-3</v>
      </c>
      <c r="D38">
        <f t="shared" si="22"/>
        <v>62747.851614957697</v>
      </c>
    </row>
    <row r="39" spans="1:4" x14ac:dyDescent="0.2">
      <c r="A39">
        <v>37</v>
      </c>
      <c r="B39">
        <v>125.366043762573</v>
      </c>
      <c r="C39">
        <v>1.28358865167045E-3</v>
      </c>
      <c r="D39">
        <f t="shared" ref="D39" si="23">SUM(B39:B138)</f>
        <v>62628.958889122463</v>
      </c>
    </row>
    <row r="40" spans="1:4" x14ac:dyDescent="0.2">
      <c r="A40">
        <v>38</v>
      </c>
      <c r="B40">
        <v>131.73955956820001</v>
      </c>
      <c r="C40">
        <v>1.35083256986249E-3</v>
      </c>
      <c r="D40">
        <f t="shared" ref="D40:D41" si="24">SUM(B40:B140)</f>
        <v>62503.592845359897</v>
      </c>
    </row>
    <row r="41" spans="1:4" x14ac:dyDescent="0.2">
      <c r="A41">
        <v>39</v>
      </c>
      <c r="B41">
        <v>138.37566838965401</v>
      </c>
      <c r="C41">
        <v>1.4210781221869299E-3</v>
      </c>
      <c r="D41">
        <f t="shared" si="24"/>
        <v>62371.853285791694</v>
      </c>
    </row>
    <row r="42" spans="1:4" x14ac:dyDescent="0.2">
      <c r="A42">
        <v>40</v>
      </c>
      <c r="B42">
        <v>140.58888736047999</v>
      </c>
      <c r="C42">
        <v>1.44616242784126E-3</v>
      </c>
      <c r="D42">
        <f t="shared" ref="D42" si="25">SUM(B42:B141)</f>
        <v>62233.47761740203</v>
      </c>
    </row>
    <row r="43" spans="1:4" x14ac:dyDescent="0.2">
      <c r="A43">
        <v>41</v>
      </c>
      <c r="B43">
        <v>149.01950699585601</v>
      </c>
      <c r="C43">
        <v>1.5355248684702E-3</v>
      </c>
      <c r="D43">
        <f t="shared" ref="D43:D44" si="26">SUM(B43:B143)</f>
        <v>62092.888730041544</v>
      </c>
    </row>
    <row r="44" spans="1:4" x14ac:dyDescent="0.2">
      <c r="A44">
        <v>42</v>
      </c>
      <c r="B44">
        <v>158.486683799275</v>
      </c>
      <c r="C44">
        <v>1.63606429464561E-3</v>
      </c>
      <c r="D44">
        <f t="shared" si="26"/>
        <v>61943.869223045687</v>
      </c>
    </row>
    <row r="45" spans="1:4" x14ac:dyDescent="0.2">
      <c r="A45">
        <v>43</v>
      </c>
      <c r="B45">
        <v>168.984682925893</v>
      </c>
      <c r="C45">
        <v>1.7478364992858501E-3</v>
      </c>
      <c r="D45">
        <f t="shared" ref="D45" si="27">SUM(B45:B144)</f>
        <v>61785.382539246413</v>
      </c>
    </row>
    <row r="46" spans="1:4" x14ac:dyDescent="0.2">
      <c r="A46">
        <v>44</v>
      </c>
      <c r="B46">
        <v>180.560614778972</v>
      </c>
      <c r="C46">
        <v>1.8714585324915E-3</v>
      </c>
      <c r="D46">
        <f t="shared" ref="D46:D47" si="28">SUM(B46:B146)</f>
        <v>61616.397856320524</v>
      </c>
    </row>
    <row r="47" spans="1:4" x14ac:dyDescent="0.2">
      <c r="A47">
        <v>45</v>
      </c>
      <c r="B47">
        <v>189.60310615892001</v>
      </c>
      <c r="C47">
        <v>1.9695652645298398E-3</v>
      </c>
      <c r="D47">
        <f t="shared" si="28"/>
        <v>61435.837241541558</v>
      </c>
    </row>
    <row r="48" spans="1:4" x14ac:dyDescent="0.2">
      <c r="A48">
        <v>46</v>
      </c>
      <c r="B48">
        <v>203.89264047130899</v>
      </c>
      <c r="C48">
        <v>2.1230820880877299E-3</v>
      </c>
      <c r="D48">
        <f t="shared" ref="D48" si="29">SUM(B48:B147)</f>
        <v>61246.234135382627</v>
      </c>
    </row>
    <row r="49" spans="1:4" x14ac:dyDescent="0.2">
      <c r="A49">
        <v>47</v>
      </c>
      <c r="B49">
        <v>219.22292760209299</v>
      </c>
      <c r="C49">
        <v>2.2886147517581601E-3</v>
      </c>
      <c r="D49">
        <f t="shared" ref="D49:D50" si="30">SUM(B49:B149)</f>
        <v>61042.341494911328</v>
      </c>
    </row>
    <row r="50" spans="1:4" x14ac:dyDescent="0.2">
      <c r="A50">
        <v>48</v>
      </c>
      <c r="B50">
        <v>235.57388229683099</v>
      </c>
      <c r="C50">
        <v>2.46616958057543E-3</v>
      </c>
      <c r="D50">
        <f t="shared" si="30"/>
        <v>60823.118567309233</v>
      </c>
    </row>
    <row r="51" spans="1:4" x14ac:dyDescent="0.2">
      <c r="A51">
        <v>49</v>
      </c>
      <c r="B51">
        <v>253.33402045285101</v>
      </c>
      <c r="C51">
        <v>2.6600656146105999E-3</v>
      </c>
      <c r="D51">
        <f t="shared" ref="D51" si="31">SUM(B51:B150)</f>
        <v>60587.544685012406</v>
      </c>
    </row>
    <row r="52" spans="1:4" x14ac:dyDescent="0.2">
      <c r="A52">
        <v>50</v>
      </c>
      <c r="B52">
        <v>266.200799926743</v>
      </c>
      <c r="C52">
        <v>2.8042310760225501E-3</v>
      </c>
      <c r="D52">
        <f t="shared" ref="D52:D53" si="32">SUM(B52:B152)</f>
        <v>60334.210664559541</v>
      </c>
    </row>
    <row r="53" spans="1:4" x14ac:dyDescent="0.2">
      <c r="A53">
        <v>51</v>
      </c>
      <c r="B53">
        <v>286.85943758328699</v>
      </c>
      <c r="C53">
        <v>3.03242064034064E-3</v>
      </c>
      <c r="D53">
        <f t="shared" si="32"/>
        <v>60068.009864632804</v>
      </c>
    </row>
    <row r="54" spans="1:4" x14ac:dyDescent="0.2">
      <c r="A54">
        <v>52</v>
      </c>
      <c r="B54">
        <v>310.76439890222298</v>
      </c>
      <c r="C54">
        <v>3.2975472490882301E-3</v>
      </c>
      <c r="D54">
        <f t="shared" ref="D54" si="33">SUM(B54:B153)</f>
        <v>59781.150427049528</v>
      </c>
    </row>
    <row r="55" spans="1:4" x14ac:dyDescent="0.2">
      <c r="A55">
        <v>53</v>
      </c>
      <c r="B55">
        <v>337.98735283846401</v>
      </c>
      <c r="C55">
        <v>3.60116713839793E-3</v>
      </c>
      <c r="D55">
        <f t="shared" ref="D55:D56" si="34">SUM(B55:B155)</f>
        <v>59470.386028147295</v>
      </c>
    </row>
    <row r="56" spans="1:4" x14ac:dyDescent="0.2">
      <c r="A56">
        <v>54</v>
      </c>
      <c r="B56">
        <v>367.36568059494903</v>
      </c>
      <c r="C56">
        <v>3.9317784021823902E-3</v>
      </c>
      <c r="D56">
        <f t="shared" si="34"/>
        <v>59132.398675308832</v>
      </c>
    </row>
    <row r="57" spans="1:4" x14ac:dyDescent="0.2">
      <c r="A57">
        <v>55</v>
      </c>
      <c r="B57">
        <v>392.01002723368703</v>
      </c>
      <c r="C57">
        <v>4.2161347418889199E-3</v>
      </c>
      <c r="D57">
        <f t="shared" ref="D57" si="35">SUM(B57:B156)</f>
        <v>58765.032994713889</v>
      </c>
    </row>
    <row r="58" spans="1:4" x14ac:dyDescent="0.2">
      <c r="A58">
        <v>56</v>
      </c>
      <c r="B58">
        <v>421.17162647921998</v>
      </c>
      <c r="C58">
        <v>4.5539101021139696E-3</v>
      </c>
      <c r="D58">
        <f t="shared" ref="D58:D59" si="36">SUM(B58:B158)</f>
        <v>58373.022967480203</v>
      </c>
    </row>
    <row r="59" spans="1:4" x14ac:dyDescent="0.2">
      <c r="A59">
        <v>57</v>
      </c>
      <c r="B59">
        <v>452.89974591444098</v>
      </c>
      <c r="C59">
        <v>4.9251665248310501E-3</v>
      </c>
      <c r="D59">
        <f t="shared" si="36"/>
        <v>57951.851341000984</v>
      </c>
    </row>
    <row r="60" spans="1:4" x14ac:dyDescent="0.2">
      <c r="A60">
        <v>58</v>
      </c>
      <c r="B60">
        <v>488.288871297882</v>
      </c>
      <c r="C60">
        <v>5.3430971562271603E-3</v>
      </c>
      <c r="D60">
        <f t="shared" ref="D60" si="37">SUM(B60:B159)</f>
        <v>57498.951595086539</v>
      </c>
    </row>
    <row r="61" spans="1:4" x14ac:dyDescent="0.2">
      <c r="A61">
        <v>59</v>
      </c>
      <c r="B61">
        <v>526.78723246760296</v>
      </c>
      <c r="C61">
        <v>5.80334712461606E-3</v>
      </c>
      <c r="D61">
        <f t="shared" ref="D61:D62" si="38">SUM(B61:B161)</f>
        <v>57010.662723788664</v>
      </c>
    </row>
    <row r="62" spans="1:4" x14ac:dyDescent="0.2">
      <c r="A62">
        <v>60</v>
      </c>
      <c r="B62">
        <v>555.75973354439896</v>
      </c>
      <c r="C62">
        <v>6.1675192770007797E-3</v>
      </c>
      <c r="D62">
        <f t="shared" si="38"/>
        <v>56483.875491321051</v>
      </c>
    </row>
    <row r="63" spans="1:4" x14ac:dyDescent="0.2">
      <c r="A63">
        <v>61</v>
      </c>
      <c r="B63">
        <v>596.56297764179101</v>
      </c>
      <c r="C63">
        <v>6.6732351590559702E-3</v>
      </c>
      <c r="D63">
        <f t="shared" ref="D63" si="39">SUM(B63:B162)</f>
        <v>55928.115757776664</v>
      </c>
    </row>
    <row r="64" spans="1:4" x14ac:dyDescent="0.2">
      <c r="A64">
        <v>62</v>
      </c>
      <c r="B64">
        <v>635.54152757676798</v>
      </c>
      <c r="C64">
        <v>7.1707637390500401E-3</v>
      </c>
      <c r="D64">
        <f t="shared" ref="D64:D65" si="40">SUM(B64:B164)</f>
        <v>55331.552780134858</v>
      </c>
    </row>
    <row r="65" spans="1:4" x14ac:dyDescent="0.2">
      <c r="A65">
        <v>63</v>
      </c>
      <c r="B65">
        <v>671.83403349750097</v>
      </c>
      <c r="C65">
        <v>7.6507678699332896E-3</v>
      </c>
      <c r="D65">
        <f t="shared" si="40"/>
        <v>54696.011252558099</v>
      </c>
    </row>
    <row r="66" spans="1:4" x14ac:dyDescent="0.2">
      <c r="A66">
        <v>64</v>
      </c>
      <c r="B66">
        <v>707.70208482476403</v>
      </c>
      <c r="C66">
        <v>8.1392737532400092E-3</v>
      </c>
      <c r="D66">
        <f t="shared" ref="D66" si="41">SUM(B66:B165)</f>
        <v>54024.177219060592</v>
      </c>
    </row>
    <row r="67" spans="1:4" x14ac:dyDescent="0.2">
      <c r="A67">
        <v>65</v>
      </c>
      <c r="B67">
        <v>734.12684809745201</v>
      </c>
      <c r="C67">
        <v>8.5324527213486399E-3</v>
      </c>
      <c r="D67">
        <f t="shared" ref="D67:D68" si="42">SUM(B67:B167)</f>
        <v>53316.475134235829</v>
      </c>
    </row>
    <row r="68" spans="1:4" x14ac:dyDescent="0.2">
      <c r="A68">
        <v>66</v>
      </c>
      <c r="B68">
        <v>778.37494332902395</v>
      </c>
      <c r="C68">
        <v>9.14854169941085E-3</v>
      </c>
      <c r="D68">
        <f t="shared" si="42"/>
        <v>52582.348286138375</v>
      </c>
    </row>
    <row r="69" spans="1:4" x14ac:dyDescent="0.2">
      <c r="A69">
        <v>67</v>
      </c>
      <c r="B69">
        <v>829.56714333262698</v>
      </c>
      <c r="C69">
        <v>9.8679708851680103E-3</v>
      </c>
      <c r="D69">
        <f t="shared" ref="D69" si="43">SUM(B69:B168)</f>
        <v>51803.973342809353</v>
      </c>
    </row>
    <row r="70" spans="1:4" x14ac:dyDescent="0.2">
      <c r="A70">
        <v>68</v>
      </c>
      <c r="B70">
        <v>890.71565963099999</v>
      </c>
      <c r="C70">
        <v>1.0733499749457E-2</v>
      </c>
      <c r="D70">
        <f t="shared" ref="D70:D71" si="44">SUM(B70:B170)</f>
        <v>50974.406199476733</v>
      </c>
    </row>
    <row r="71" spans="1:4" x14ac:dyDescent="0.2">
      <c r="A71">
        <v>69</v>
      </c>
      <c r="B71">
        <v>957.62073868874995</v>
      </c>
      <c r="C71">
        <v>1.17035777085062E-2</v>
      </c>
      <c r="D71">
        <f t="shared" si="44"/>
        <v>50083.690539845724</v>
      </c>
    </row>
    <row r="72" spans="1:4" x14ac:dyDescent="0.2">
      <c r="A72">
        <v>70</v>
      </c>
      <c r="B72">
        <v>995.09783438883403</v>
      </c>
      <c r="C72">
        <v>1.23501269241942E-2</v>
      </c>
      <c r="D72">
        <f t="shared" ref="D72" si="45">SUM(B72:B171)</f>
        <v>49126.069801156969</v>
      </c>
    </row>
    <row r="73" spans="1:4" x14ac:dyDescent="0.2">
      <c r="A73">
        <v>71</v>
      </c>
      <c r="B73">
        <v>1071.05829328299</v>
      </c>
      <c r="C73">
        <v>1.35185321041052E-2</v>
      </c>
      <c r="D73">
        <f t="shared" ref="D73:D74" si="46">SUM(B73:B173)</f>
        <v>48130.971966768142</v>
      </c>
    </row>
    <row r="74" spans="1:4" x14ac:dyDescent="0.2">
      <c r="A74">
        <v>72</v>
      </c>
      <c r="B74">
        <v>1153.54397232981</v>
      </c>
      <c r="C74">
        <v>1.4830624540925199E-2</v>
      </c>
      <c r="D74">
        <f t="shared" si="46"/>
        <v>47059.913673485142</v>
      </c>
    </row>
    <row r="75" spans="1:4" x14ac:dyDescent="0.2">
      <c r="A75">
        <v>73</v>
      </c>
      <c r="B75">
        <v>1225.38578733195</v>
      </c>
      <c r="C75">
        <v>1.6076526882733401E-2</v>
      </c>
      <c r="D75">
        <f t="shared" ref="D75" si="47">SUM(B75:B174)</f>
        <v>45906.369701155338</v>
      </c>
    </row>
    <row r="76" spans="1:4" x14ac:dyDescent="0.2">
      <c r="A76">
        <v>74</v>
      </c>
      <c r="B76">
        <v>1352.67061455619</v>
      </c>
      <c r="C76">
        <v>1.8140636421387898E-2</v>
      </c>
      <c r="D76">
        <f t="shared" ref="D76:D77" si="48">SUM(B76:B176)</f>
        <v>44680.983913823387</v>
      </c>
    </row>
    <row r="77" spans="1:4" x14ac:dyDescent="0.2">
      <c r="A77">
        <v>75</v>
      </c>
      <c r="B77">
        <v>1372.5574169285601</v>
      </c>
      <c r="C77">
        <v>1.8870020586976798E-2</v>
      </c>
      <c r="D77">
        <f t="shared" si="48"/>
        <v>43328.313299267196</v>
      </c>
    </row>
    <row r="78" spans="1:4" x14ac:dyDescent="0.2">
      <c r="A78">
        <v>76</v>
      </c>
      <c r="B78">
        <v>1488.81692661138</v>
      </c>
      <c r="C78">
        <v>2.1033367670169799E-2</v>
      </c>
      <c r="D78">
        <f t="shared" ref="D78" si="49">SUM(B78:B177)</f>
        <v>41955.755882338635</v>
      </c>
    </row>
    <row r="79" spans="1:4" x14ac:dyDescent="0.2">
      <c r="A79">
        <v>77</v>
      </c>
      <c r="B79">
        <v>1593.52694115551</v>
      </c>
      <c r="C79">
        <v>2.3207543572411501E-2</v>
      </c>
      <c r="D79">
        <f t="shared" ref="D79:D80" si="50">SUM(B79:B179)</f>
        <v>40466.938955727259</v>
      </c>
    </row>
    <row r="80" spans="1:4" x14ac:dyDescent="0.2">
      <c r="A80">
        <v>78</v>
      </c>
      <c r="B80">
        <v>1729.75620588263</v>
      </c>
      <c r="C80">
        <v>2.6052217810992599E-2</v>
      </c>
      <c r="D80">
        <f t="shared" si="50"/>
        <v>38873.412014571753</v>
      </c>
    </row>
    <row r="81" spans="1:4" x14ac:dyDescent="0.2">
      <c r="A81">
        <v>79</v>
      </c>
      <c r="B81">
        <v>1850.9567035663599</v>
      </c>
      <c r="C81">
        <v>2.8951344941493401E-2</v>
      </c>
      <c r="D81">
        <f t="shared" ref="D81" si="51">SUM(B81:B180)</f>
        <v>37143.655808689124</v>
      </c>
    </row>
    <row r="82" spans="1:4" x14ac:dyDescent="0.2">
      <c r="A82">
        <v>80</v>
      </c>
      <c r="B82">
        <v>1815.10222756243</v>
      </c>
      <c r="C82">
        <v>2.9610899317932701E-2</v>
      </c>
      <c r="D82">
        <f t="shared" ref="D82:D83" si="52">SUM(B82:B182)</f>
        <v>35292.69910512276</v>
      </c>
    </row>
    <row r="83" spans="1:4" x14ac:dyDescent="0.2">
      <c r="A83">
        <v>81</v>
      </c>
      <c r="B83">
        <v>1926.1567393231301</v>
      </c>
      <c r="C83">
        <v>3.2935845484695303E-2</v>
      </c>
      <c r="D83">
        <f t="shared" si="52"/>
        <v>33477.596877560332</v>
      </c>
    </row>
    <row r="84" spans="1:4" x14ac:dyDescent="0.2">
      <c r="A84">
        <v>82</v>
      </c>
      <c r="B84">
        <v>2042.5538900414299</v>
      </c>
      <c r="C84">
        <v>3.6807147655687301E-2</v>
      </c>
      <c r="D84">
        <f t="shared" ref="D84" si="53">SUM(B84:B183)</f>
        <v>31551.440138237202</v>
      </c>
    </row>
    <row r="85" spans="1:4" x14ac:dyDescent="0.2">
      <c r="A85">
        <v>83</v>
      </c>
      <c r="B85">
        <v>2163.7083574695998</v>
      </c>
      <c r="C85">
        <v>4.1352026561376098E-2</v>
      </c>
      <c r="D85">
        <f t="shared" ref="D85:D86" si="54">SUM(B85:B185)</f>
        <v>29508.886248195769</v>
      </c>
    </row>
    <row r="86" spans="1:4" x14ac:dyDescent="0.2">
      <c r="A86">
        <v>84</v>
      </c>
      <c r="B86">
        <v>2283.3332771637902</v>
      </c>
      <c r="C86">
        <v>4.6630189921212997E-2</v>
      </c>
      <c r="D86">
        <f t="shared" si="54"/>
        <v>27345.177890726169</v>
      </c>
    </row>
    <row r="87" spans="1:4" x14ac:dyDescent="0.2">
      <c r="A87">
        <v>85</v>
      </c>
      <c r="B87">
        <v>2182.7421660362102</v>
      </c>
      <c r="C87">
        <v>4.8052665302861501E-2</v>
      </c>
      <c r="D87">
        <f t="shared" ref="D87" si="55">SUM(B87:B186)</f>
        <v>25061.844613562382</v>
      </c>
    </row>
    <row r="88" spans="1:4" x14ac:dyDescent="0.2">
      <c r="A88">
        <v>86</v>
      </c>
      <c r="B88">
        <v>2216.1146940942599</v>
      </c>
      <c r="C88">
        <v>5.3113498505580697E-2</v>
      </c>
      <c r="D88">
        <f t="shared" ref="D88:D89" si="56">SUM(B88:B188)</f>
        <v>22879.102447526169</v>
      </c>
    </row>
    <row r="89" spans="1:4" x14ac:dyDescent="0.2">
      <c r="A89">
        <v>87</v>
      </c>
      <c r="B89">
        <v>2282.4119524462799</v>
      </c>
      <c r="C89">
        <v>6.0114509927268703E-2</v>
      </c>
      <c r="D89">
        <f t="shared" si="56"/>
        <v>20662.987753431909</v>
      </c>
    </row>
    <row r="90" spans="1:4" x14ac:dyDescent="0.2">
      <c r="A90">
        <v>88</v>
      </c>
      <c r="B90">
        <v>2313.76082061845</v>
      </c>
      <c r="C90">
        <v>6.7854273706429796E-2</v>
      </c>
      <c r="D90">
        <f t="shared" ref="D90" si="57">SUM(B90:B189)</f>
        <v>18380.575800985625</v>
      </c>
    </row>
    <row r="91" spans="1:4" x14ac:dyDescent="0.2">
      <c r="A91">
        <v>89</v>
      </c>
      <c r="B91">
        <v>2304.3855860539602</v>
      </c>
      <c r="C91">
        <v>7.6362156380023694E-2</v>
      </c>
      <c r="D91">
        <f t="shared" ref="D91:D92" si="58">SUM(B91:B191)</f>
        <v>16066.814980367179</v>
      </c>
    </row>
    <row r="92" spans="1:4" x14ac:dyDescent="0.2">
      <c r="A92">
        <v>90</v>
      </c>
      <c r="B92">
        <v>2062.3348122437801</v>
      </c>
      <c r="C92">
        <v>7.8502191776764194E-2</v>
      </c>
      <c r="D92">
        <f t="shared" si="58"/>
        <v>13762.429394313216</v>
      </c>
    </row>
    <row r="93" spans="1:4" x14ac:dyDescent="0.2">
      <c r="A93">
        <v>91</v>
      </c>
      <c r="B93">
        <v>1970.4312898098101</v>
      </c>
      <c r="C93">
        <v>8.7743378803854896E-2</v>
      </c>
      <c r="D93">
        <f t="shared" ref="D93" si="59">SUM(B93:B192)</f>
        <v>11700.094582069438</v>
      </c>
    </row>
    <row r="94" spans="1:4" x14ac:dyDescent="0.2">
      <c r="A94">
        <v>92</v>
      </c>
      <c r="B94">
        <v>1837.88986806096</v>
      </c>
      <c r="C94">
        <v>9.7695485868204895E-2</v>
      </c>
      <c r="D94">
        <f t="shared" ref="D94:D95" si="60">SUM(B94:B194)</f>
        <v>9729.6632922596273</v>
      </c>
    </row>
    <row r="95" spans="1:4" x14ac:dyDescent="0.2">
      <c r="A95">
        <v>93</v>
      </c>
      <c r="B95">
        <v>1669.68694226861</v>
      </c>
      <c r="C95">
        <v>0.108328017805134</v>
      </c>
      <c r="D95">
        <f t="shared" si="60"/>
        <v>7891.7734241986664</v>
      </c>
    </row>
    <row r="96" spans="1:4" x14ac:dyDescent="0.2">
      <c r="A96">
        <v>94</v>
      </c>
      <c r="B96">
        <v>1473.97873702832</v>
      </c>
      <c r="C96">
        <v>0.119591046335774</v>
      </c>
      <c r="D96">
        <f t="shared" ref="D96" si="61">SUM(B96:B195)</f>
        <v>6222.0864819300568</v>
      </c>
    </row>
    <row r="97" spans="1:4" x14ac:dyDescent="0.2">
      <c r="A97">
        <v>95</v>
      </c>
      <c r="B97">
        <v>1154.0369183032401</v>
      </c>
      <c r="C97">
        <v>0.12022430028023599</v>
      </c>
      <c r="D97">
        <f t="shared" ref="D97:D98" si="62">SUM(B97:B197)</f>
        <v>4748.1077449017375</v>
      </c>
    </row>
    <row r="98" spans="1:4" x14ac:dyDescent="0.2">
      <c r="A98">
        <v>96</v>
      </c>
      <c r="B98">
        <v>955.27530676556205</v>
      </c>
      <c r="C98">
        <v>0.13147253200327599</v>
      </c>
      <c r="D98">
        <f t="shared" si="62"/>
        <v>3594.0708265984968</v>
      </c>
    </row>
    <row r="99" spans="1:4" x14ac:dyDescent="0.2">
      <c r="A99">
        <v>97</v>
      </c>
      <c r="B99">
        <v>763.15848684749506</v>
      </c>
      <c r="C99">
        <v>0.14305468936346699</v>
      </c>
      <c r="D99">
        <f t="shared" ref="D99" si="63">SUM(B99:B198)</f>
        <v>2638.795519832935</v>
      </c>
    </row>
    <row r="100" spans="1:4" x14ac:dyDescent="0.2">
      <c r="A100">
        <v>98</v>
      </c>
      <c r="B100">
        <v>587.21319387644598</v>
      </c>
      <c r="C100">
        <v>0.15486031391126101</v>
      </c>
      <c r="D100">
        <f t="shared" ref="D100:D101" si="64">SUM(B100:B200)</f>
        <v>1875.6370329854399</v>
      </c>
    </row>
    <row r="101" spans="1:4" x14ac:dyDescent="0.2">
      <c r="A101">
        <v>99</v>
      </c>
      <c r="B101">
        <v>434.39370432345999</v>
      </c>
      <c r="C101">
        <v>0.16676998433345999</v>
      </c>
      <c r="D101">
        <f t="shared" si="64"/>
        <v>1288.4238391089939</v>
      </c>
    </row>
    <row r="102" spans="1:4" x14ac:dyDescent="0.2">
      <c r="A102">
        <v>100</v>
      </c>
      <c r="B102">
        <v>854.03013478553396</v>
      </c>
      <c r="C102">
        <v>0.49464440600681098</v>
      </c>
      <c r="D102">
        <f t="shared" ref="D102" si="65">SUM(B102:B201)</f>
        <v>854.03013478553396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59A6-4276-D343-9350-D1162F48F9E5}">
  <dimension ref="A1:D102"/>
  <sheetViews>
    <sheetView topLeftCell="A93"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147</v>
      </c>
      <c r="B1" t="s">
        <v>149</v>
      </c>
      <c r="C1" t="s">
        <v>150</v>
      </c>
      <c r="D1" t="s">
        <v>148</v>
      </c>
    </row>
    <row r="2" spans="1:4" x14ac:dyDescent="0.2">
      <c r="A2">
        <v>0</v>
      </c>
      <c r="B2">
        <v>9.1706362926325894E-3</v>
      </c>
      <c r="C2" s="73">
        <v>100000</v>
      </c>
      <c r="D2">
        <v>917</v>
      </c>
    </row>
    <row r="3" spans="1:4" x14ac:dyDescent="0.2">
      <c r="A3">
        <v>1</v>
      </c>
      <c r="B3">
        <v>5.6809324453699404E-4</v>
      </c>
      <c r="C3">
        <v>99083</v>
      </c>
      <c r="D3">
        <v>56</v>
      </c>
    </row>
    <row r="4" spans="1:4" x14ac:dyDescent="0.2">
      <c r="A4">
        <v>2</v>
      </c>
      <c r="B4">
        <v>3.6466026791448503E-4</v>
      </c>
      <c r="C4">
        <v>99027</v>
      </c>
      <c r="D4">
        <v>36</v>
      </c>
    </row>
    <row r="5" spans="1:4" x14ac:dyDescent="0.2">
      <c r="A5">
        <v>3</v>
      </c>
      <c r="B5">
        <v>2.9536931994733601E-4</v>
      </c>
      <c r="C5">
        <v>98991</v>
      </c>
      <c r="D5">
        <v>29</v>
      </c>
    </row>
    <row r="6" spans="1:4" x14ac:dyDescent="0.2">
      <c r="A6">
        <v>4</v>
      </c>
      <c r="B6">
        <v>2.2526698021463299E-4</v>
      </c>
      <c r="C6">
        <v>98962</v>
      </c>
      <c r="D6">
        <v>22</v>
      </c>
    </row>
    <row r="7" spans="1:4" x14ac:dyDescent="0.2">
      <c r="A7">
        <v>5</v>
      </c>
      <c r="B7">
        <v>2.10984939461145E-4</v>
      </c>
      <c r="C7">
        <v>98940</v>
      </c>
      <c r="D7">
        <v>21</v>
      </c>
    </row>
    <row r="8" spans="1:4" x14ac:dyDescent="0.2">
      <c r="A8">
        <v>6</v>
      </c>
      <c r="B8">
        <v>1.8842234390625801E-4</v>
      </c>
      <c r="C8">
        <v>98919</v>
      </c>
      <c r="D8">
        <v>19</v>
      </c>
    </row>
    <row r="9" spans="1:4" x14ac:dyDescent="0.2">
      <c r="A9">
        <v>7</v>
      </c>
      <c r="B9">
        <v>1.73297152326279E-4</v>
      </c>
      <c r="C9">
        <v>98900</v>
      </c>
      <c r="D9">
        <v>17</v>
      </c>
    </row>
    <row r="10" spans="1:4" x14ac:dyDescent="0.2">
      <c r="A10">
        <v>8</v>
      </c>
      <c r="B10">
        <v>1.6369697480866899E-4</v>
      </c>
      <c r="C10">
        <v>98883</v>
      </c>
      <c r="D10">
        <v>16</v>
      </c>
    </row>
    <row r="11" spans="1:4" x14ac:dyDescent="0.2">
      <c r="A11">
        <v>9</v>
      </c>
      <c r="B11">
        <v>1.5983744205372299E-4</v>
      </c>
      <c r="C11">
        <v>98867</v>
      </c>
      <c r="D11">
        <v>16</v>
      </c>
    </row>
    <row r="12" spans="1:4" x14ac:dyDescent="0.2">
      <c r="A12">
        <v>10</v>
      </c>
      <c r="B12">
        <v>1.6287329753017499E-4</v>
      </c>
      <c r="C12">
        <v>98851</v>
      </c>
      <c r="D12">
        <v>16</v>
      </c>
    </row>
    <row r="13" spans="1:4" x14ac:dyDescent="0.2">
      <c r="A13">
        <v>11</v>
      </c>
      <c r="B13">
        <v>1.7941860097514501E-4</v>
      </c>
      <c r="C13">
        <v>98835</v>
      </c>
      <c r="D13">
        <v>18</v>
      </c>
    </row>
    <row r="14" spans="1:4" x14ac:dyDescent="0.2">
      <c r="A14">
        <v>12</v>
      </c>
      <c r="B14">
        <v>2.13286395388201E-4</v>
      </c>
      <c r="C14">
        <v>98817</v>
      </c>
      <c r="D14">
        <v>21</v>
      </c>
    </row>
    <row r="15" spans="1:4" x14ac:dyDescent="0.2">
      <c r="A15">
        <v>13</v>
      </c>
      <c r="B15">
        <v>2.67305009079566E-4</v>
      </c>
      <c r="C15">
        <v>98796</v>
      </c>
      <c r="D15">
        <v>26</v>
      </c>
    </row>
    <row r="16" spans="1:4" x14ac:dyDescent="0.2">
      <c r="A16">
        <v>14</v>
      </c>
      <c r="B16">
        <v>3.3768503550135598E-4</v>
      </c>
      <c r="C16">
        <v>98770</v>
      </c>
      <c r="D16">
        <v>33</v>
      </c>
    </row>
    <row r="17" spans="1:4" x14ac:dyDescent="0.2">
      <c r="A17">
        <v>15</v>
      </c>
      <c r="B17">
        <v>4.2324793178360998E-4</v>
      </c>
      <c r="C17">
        <v>98737</v>
      </c>
      <c r="D17">
        <v>42</v>
      </c>
    </row>
    <row r="18" spans="1:4" x14ac:dyDescent="0.2">
      <c r="A18">
        <v>16</v>
      </c>
      <c r="B18">
        <v>5.0894866050377196E-4</v>
      </c>
      <c r="C18">
        <v>98695</v>
      </c>
      <c r="D18">
        <v>50</v>
      </c>
    </row>
    <row r="19" spans="1:4" x14ac:dyDescent="0.2">
      <c r="A19">
        <v>17</v>
      </c>
      <c r="B19">
        <v>5.9685233485840005E-4</v>
      </c>
      <c r="C19">
        <v>98645</v>
      </c>
      <c r="D19">
        <v>59</v>
      </c>
    </row>
    <row r="20" spans="1:4" x14ac:dyDescent="0.2">
      <c r="A20">
        <v>18</v>
      </c>
      <c r="B20">
        <v>6.8376562328753597E-4</v>
      </c>
      <c r="C20">
        <v>98586</v>
      </c>
      <c r="D20">
        <v>67</v>
      </c>
    </row>
    <row r="21" spans="1:4" x14ac:dyDescent="0.2">
      <c r="A21">
        <v>19</v>
      </c>
      <c r="B21">
        <v>7.7036030680155399E-4</v>
      </c>
      <c r="C21">
        <v>98519</v>
      </c>
      <c r="D21">
        <v>76</v>
      </c>
    </row>
    <row r="22" spans="1:4" x14ac:dyDescent="0.2">
      <c r="A22">
        <v>20</v>
      </c>
      <c r="B22">
        <v>8.6096127903001495E-4</v>
      </c>
      <c r="C22">
        <v>98443</v>
      </c>
      <c r="D22">
        <v>85</v>
      </c>
    </row>
    <row r="23" spans="1:4" x14ac:dyDescent="0.2">
      <c r="A23">
        <v>21</v>
      </c>
      <c r="B23">
        <v>9.5647639046458899E-4</v>
      </c>
      <c r="C23">
        <v>98358</v>
      </c>
      <c r="D23">
        <v>94</v>
      </c>
    </row>
    <row r="24" spans="1:4" x14ac:dyDescent="0.2">
      <c r="A24">
        <v>22</v>
      </c>
      <c r="B24">
        <v>1.04946872982103E-3</v>
      </c>
      <c r="C24">
        <v>98264</v>
      </c>
      <c r="D24">
        <v>103</v>
      </c>
    </row>
    <row r="25" spans="1:4" x14ac:dyDescent="0.2">
      <c r="A25">
        <v>23</v>
      </c>
      <c r="B25">
        <v>1.13659628850848E-3</v>
      </c>
      <c r="C25">
        <v>98161</v>
      </c>
      <c r="D25">
        <v>112</v>
      </c>
    </row>
    <row r="26" spans="1:4" x14ac:dyDescent="0.2">
      <c r="A26">
        <v>24</v>
      </c>
      <c r="B26">
        <v>1.2189132723158199E-3</v>
      </c>
      <c r="C26">
        <v>98049</v>
      </c>
      <c r="D26">
        <v>120</v>
      </c>
    </row>
    <row r="27" spans="1:4" x14ac:dyDescent="0.2">
      <c r="A27">
        <v>25</v>
      </c>
      <c r="B27">
        <v>1.27743533381119E-3</v>
      </c>
      <c r="C27">
        <v>97929</v>
      </c>
      <c r="D27">
        <v>125</v>
      </c>
    </row>
    <row r="28" spans="1:4" x14ac:dyDescent="0.2">
      <c r="A28">
        <v>26</v>
      </c>
      <c r="B28">
        <v>1.3582158627027899E-3</v>
      </c>
      <c r="C28">
        <v>97804</v>
      </c>
      <c r="D28">
        <v>133</v>
      </c>
    </row>
    <row r="29" spans="1:4" x14ac:dyDescent="0.2">
      <c r="A29">
        <v>27</v>
      </c>
      <c r="B29">
        <v>1.44585865490532E-3</v>
      </c>
      <c r="C29">
        <v>97671</v>
      </c>
      <c r="D29">
        <v>141</v>
      </c>
    </row>
    <row r="30" spans="1:4" x14ac:dyDescent="0.2">
      <c r="A30">
        <v>28</v>
      </c>
      <c r="B30">
        <v>1.54491635625698E-3</v>
      </c>
      <c r="C30">
        <v>97530</v>
      </c>
      <c r="D30">
        <v>151</v>
      </c>
    </row>
    <row r="31" spans="1:4" x14ac:dyDescent="0.2">
      <c r="A31">
        <v>29</v>
      </c>
      <c r="B31">
        <v>1.65465862046721E-3</v>
      </c>
      <c r="C31">
        <v>97379</v>
      </c>
      <c r="D31">
        <v>161</v>
      </c>
    </row>
    <row r="32" spans="1:4" x14ac:dyDescent="0.2">
      <c r="A32">
        <v>30</v>
      </c>
      <c r="B32">
        <v>1.7085559222024299E-3</v>
      </c>
      <c r="C32">
        <v>97218</v>
      </c>
      <c r="D32">
        <v>166</v>
      </c>
    </row>
    <row r="33" spans="1:4" x14ac:dyDescent="0.2">
      <c r="A33">
        <v>31</v>
      </c>
      <c r="B33">
        <v>1.8234915422028499E-3</v>
      </c>
      <c r="C33">
        <v>97052</v>
      </c>
      <c r="D33">
        <v>177</v>
      </c>
    </row>
    <row r="34" spans="1:4" x14ac:dyDescent="0.2">
      <c r="A34">
        <v>32</v>
      </c>
      <c r="B34">
        <v>1.93966999851169E-3</v>
      </c>
      <c r="C34">
        <v>96875</v>
      </c>
      <c r="D34">
        <v>188</v>
      </c>
    </row>
    <row r="35" spans="1:4" x14ac:dyDescent="0.2">
      <c r="A35">
        <v>33</v>
      </c>
      <c r="B35">
        <v>2.0547029593274099E-3</v>
      </c>
      <c r="C35">
        <v>96687</v>
      </c>
      <c r="D35">
        <v>199</v>
      </c>
    </row>
    <row r="36" spans="1:4" x14ac:dyDescent="0.2">
      <c r="A36">
        <v>34</v>
      </c>
      <c r="B36">
        <v>2.1703925313609801E-3</v>
      </c>
      <c r="C36">
        <v>96488</v>
      </c>
      <c r="D36">
        <v>209</v>
      </c>
    </row>
    <row r="37" spans="1:4" x14ac:dyDescent="0.2">
      <c r="A37">
        <v>35</v>
      </c>
      <c r="B37">
        <v>2.1680471862242099E-3</v>
      </c>
      <c r="C37">
        <v>96279</v>
      </c>
      <c r="D37">
        <v>209</v>
      </c>
    </row>
    <row r="38" spans="1:4" x14ac:dyDescent="0.2">
      <c r="A38">
        <v>36</v>
      </c>
      <c r="B38">
        <v>2.2966377061777198E-3</v>
      </c>
      <c r="C38">
        <v>96070</v>
      </c>
      <c r="D38">
        <v>221</v>
      </c>
    </row>
    <row r="39" spans="1:4" x14ac:dyDescent="0.2">
      <c r="A39">
        <v>37</v>
      </c>
      <c r="B39">
        <v>2.42498657967738E-3</v>
      </c>
      <c r="C39">
        <v>95849</v>
      </c>
      <c r="D39">
        <v>232</v>
      </c>
    </row>
    <row r="40" spans="1:4" x14ac:dyDescent="0.2">
      <c r="A40">
        <v>38</v>
      </c>
      <c r="B40">
        <v>2.5519485278825398E-3</v>
      </c>
      <c r="C40">
        <v>95617</v>
      </c>
      <c r="D40">
        <v>244</v>
      </c>
    </row>
    <row r="41" spans="1:4" x14ac:dyDescent="0.2">
      <c r="A41">
        <v>39</v>
      </c>
      <c r="B41">
        <v>2.6845696290418398E-3</v>
      </c>
      <c r="C41">
        <v>95373</v>
      </c>
      <c r="D41">
        <v>256</v>
      </c>
    </row>
    <row r="42" spans="1:4" x14ac:dyDescent="0.2">
      <c r="A42">
        <v>40</v>
      </c>
      <c r="B42">
        <v>2.6119087338565298E-3</v>
      </c>
      <c r="C42">
        <v>95117</v>
      </c>
      <c r="D42">
        <v>248</v>
      </c>
    </row>
    <row r="43" spans="1:4" x14ac:dyDescent="0.2">
      <c r="A43">
        <v>41</v>
      </c>
      <c r="B43">
        <v>2.7731997620563699E-3</v>
      </c>
      <c r="C43">
        <v>94869</v>
      </c>
      <c r="D43">
        <v>263</v>
      </c>
    </row>
    <row r="44" spans="1:4" x14ac:dyDescent="0.2">
      <c r="A44">
        <v>42</v>
      </c>
      <c r="B44">
        <v>2.9546494554832901E-3</v>
      </c>
      <c r="C44">
        <v>94606</v>
      </c>
      <c r="D44">
        <v>280</v>
      </c>
    </row>
    <row r="45" spans="1:4" x14ac:dyDescent="0.2">
      <c r="A45">
        <v>43</v>
      </c>
      <c r="B45">
        <v>3.15635327668662E-3</v>
      </c>
      <c r="C45">
        <v>94326</v>
      </c>
      <c r="D45">
        <v>298</v>
      </c>
    </row>
    <row r="46" spans="1:4" x14ac:dyDescent="0.2">
      <c r="A46">
        <v>44</v>
      </c>
      <c r="B46">
        <v>3.3794187533034998E-3</v>
      </c>
      <c r="C46">
        <v>94028</v>
      </c>
      <c r="D46">
        <v>318</v>
      </c>
    </row>
    <row r="47" spans="1:4" x14ac:dyDescent="0.2">
      <c r="A47">
        <v>45</v>
      </c>
      <c r="B47">
        <v>3.4304303818985002E-3</v>
      </c>
      <c r="C47">
        <v>93710</v>
      </c>
      <c r="D47">
        <v>321</v>
      </c>
    </row>
    <row r="48" spans="1:4" x14ac:dyDescent="0.2">
      <c r="A48">
        <v>46</v>
      </c>
      <c r="B48">
        <v>3.6975790546733799E-3</v>
      </c>
      <c r="C48">
        <v>93389</v>
      </c>
      <c r="D48">
        <v>345</v>
      </c>
    </row>
    <row r="49" spans="1:4" x14ac:dyDescent="0.2">
      <c r="A49">
        <v>47</v>
      </c>
      <c r="B49">
        <v>3.9855995759422403E-3</v>
      </c>
      <c r="C49">
        <v>93044</v>
      </c>
      <c r="D49">
        <v>371</v>
      </c>
    </row>
    <row r="50" spans="1:4" x14ac:dyDescent="0.2">
      <c r="A50">
        <v>48</v>
      </c>
      <c r="B50">
        <v>4.2944943579311702E-3</v>
      </c>
      <c r="C50">
        <v>92673</v>
      </c>
      <c r="D50">
        <v>398</v>
      </c>
    </row>
    <row r="51" spans="1:4" x14ac:dyDescent="0.2">
      <c r="A51">
        <v>49</v>
      </c>
      <c r="B51">
        <v>4.6317663350992104E-3</v>
      </c>
      <c r="C51">
        <v>92275</v>
      </c>
      <c r="D51">
        <v>427</v>
      </c>
    </row>
    <row r="52" spans="1:4" x14ac:dyDescent="0.2">
      <c r="A52">
        <v>50</v>
      </c>
      <c r="B52">
        <v>4.7980769506519296E-3</v>
      </c>
      <c r="C52">
        <v>91848</v>
      </c>
      <c r="D52">
        <v>441</v>
      </c>
    </row>
    <row r="53" spans="1:4" x14ac:dyDescent="0.2">
      <c r="A53">
        <v>51</v>
      </c>
      <c r="B53">
        <v>5.1880313853392996E-3</v>
      </c>
      <c r="C53">
        <v>91407</v>
      </c>
      <c r="D53">
        <v>474</v>
      </c>
    </row>
    <row r="54" spans="1:4" x14ac:dyDescent="0.2">
      <c r="A54">
        <v>52</v>
      </c>
      <c r="B54">
        <v>5.6410168252051304E-3</v>
      </c>
      <c r="C54">
        <v>90933</v>
      </c>
      <c r="D54">
        <v>513</v>
      </c>
    </row>
    <row r="55" spans="1:4" x14ac:dyDescent="0.2">
      <c r="A55">
        <v>53</v>
      </c>
      <c r="B55">
        <v>6.15965040719413E-3</v>
      </c>
      <c r="C55">
        <v>90420</v>
      </c>
      <c r="D55">
        <v>557</v>
      </c>
    </row>
    <row r="56" spans="1:4" x14ac:dyDescent="0.2">
      <c r="A56">
        <v>54</v>
      </c>
      <c r="B56">
        <v>6.7242440060964999E-3</v>
      </c>
      <c r="C56">
        <v>89863</v>
      </c>
      <c r="D56">
        <v>604</v>
      </c>
    </row>
    <row r="57" spans="1:4" x14ac:dyDescent="0.2">
      <c r="A57">
        <v>55</v>
      </c>
      <c r="B57">
        <v>7.1523713252843501E-3</v>
      </c>
      <c r="C57">
        <v>89259</v>
      </c>
      <c r="D57">
        <v>638</v>
      </c>
    </row>
    <row r="58" spans="1:4" x14ac:dyDescent="0.2">
      <c r="A58">
        <v>56</v>
      </c>
      <c r="B58">
        <v>7.7243308076719898E-3</v>
      </c>
      <c r="C58">
        <v>88621</v>
      </c>
      <c r="D58">
        <v>685</v>
      </c>
    </row>
    <row r="59" spans="1:4" x14ac:dyDescent="0.2">
      <c r="A59">
        <v>57</v>
      </c>
      <c r="B59">
        <v>8.3528041120107793E-3</v>
      </c>
      <c r="C59">
        <v>87936</v>
      </c>
      <c r="D59">
        <v>735</v>
      </c>
    </row>
    <row r="60" spans="1:4" x14ac:dyDescent="0.2">
      <c r="A60">
        <v>58</v>
      </c>
      <c r="B60">
        <v>9.0600631541311004E-3</v>
      </c>
      <c r="C60">
        <v>87201</v>
      </c>
      <c r="D60">
        <v>790</v>
      </c>
    </row>
    <row r="61" spans="1:4" x14ac:dyDescent="0.2">
      <c r="A61">
        <v>59</v>
      </c>
      <c r="B61">
        <v>9.8386621460546698E-3</v>
      </c>
      <c r="C61">
        <v>86411</v>
      </c>
      <c r="D61">
        <v>850</v>
      </c>
    </row>
    <row r="62" spans="1:4" x14ac:dyDescent="0.2">
      <c r="A62">
        <v>60</v>
      </c>
      <c r="B62">
        <v>1.0538876603963901E-2</v>
      </c>
      <c r="C62">
        <v>85561</v>
      </c>
      <c r="D62">
        <v>902</v>
      </c>
    </row>
    <row r="63" spans="1:4" x14ac:dyDescent="0.2">
      <c r="A63">
        <v>61</v>
      </c>
      <c r="B63">
        <v>1.1400682651008799E-2</v>
      </c>
      <c r="C63">
        <v>84659</v>
      </c>
      <c r="D63">
        <v>965</v>
      </c>
    </row>
    <row r="64" spans="1:4" x14ac:dyDescent="0.2">
      <c r="A64">
        <v>62</v>
      </c>
      <c r="B64">
        <v>1.22481893356369E-2</v>
      </c>
      <c r="C64">
        <v>83694</v>
      </c>
      <c r="D64">
        <v>1025</v>
      </c>
    </row>
    <row r="65" spans="1:4" x14ac:dyDescent="0.2">
      <c r="A65">
        <v>63</v>
      </c>
      <c r="B65">
        <v>1.30655179595131E-2</v>
      </c>
      <c r="C65">
        <v>82669</v>
      </c>
      <c r="D65">
        <v>1080</v>
      </c>
    </row>
    <row r="66" spans="1:4" x14ac:dyDescent="0.2">
      <c r="A66">
        <v>64</v>
      </c>
      <c r="B66">
        <v>1.38969939084614E-2</v>
      </c>
      <c r="C66">
        <v>81589</v>
      </c>
      <c r="D66">
        <v>1134</v>
      </c>
    </row>
    <row r="67" spans="1:4" x14ac:dyDescent="0.2">
      <c r="A67">
        <v>65</v>
      </c>
      <c r="B67">
        <v>1.47481629009496E-2</v>
      </c>
      <c r="C67">
        <v>80455</v>
      </c>
      <c r="D67">
        <v>1187</v>
      </c>
    </row>
    <row r="68" spans="1:4" x14ac:dyDescent="0.2">
      <c r="A68">
        <v>66</v>
      </c>
      <c r="B68">
        <v>1.58090410526333E-2</v>
      </c>
      <c r="C68">
        <v>79268</v>
      </c>
      <c r="D68">
        <v>1253</v>
      </c>
    </row>
    <row r="69" spans="1:4" x14ac:dyDescent="0.2">
      <c r="A69">
        <v>67</v>
      </c>
      <c r="B69">
        <v>1.70471812639084E-2</v>
      </c>
      <c r="C69">
        <v>78015</v>
      </c>
      <c r="D69">
        <v>1330</v>
      </c>
    </row>
    <row r="70" spans="1:4" x14ac:dyDescent="0.2">
      <c r="A70">
        <v>68</v>
      </c>
      <c r="B70">
        <v>1.8535781111204599E-2</v>
      </c>
      <c r="C70">
        <v>76685</v>
      </c>
      <c r="D70">
        <v>1421</v>
      </c>
    </row>
    <row r="71" spans="1:4" x14ac:dyDescent="0.2">
      <c r="A71">
        <v>69</v>
      </c>
      <c r="B71">
        <v>2.0202921994103101E-2</v>
      </c>
      <c r="C71">
        <v>75264</v>
      </c>
      <c r="D71">
        <v>1521</v>
      </c>
    </row>
    <row r="72" spans="1:4" x14ac:dyDescent="0.2">
      <c r="A72">
        <v>70</v>
      </c>
      <c r="B72">
        <v>2.19377961175127E-2</v>
      </c>
      <c r="C72">
        <v>73743</v>
      </c>
      <c r="D72">
        <v>1618</v>
      </c>
    </row>
    <row r="73" spans="1:4" x14ac:dyDescent="0.2">
      <c r="A73">
        <v>71</v>
      </c>
      <c r="B73">
        <v>2.4001321441950101E-2</v>
      </c>
      <c r="C73">
        <v>72125</v>
      </c>
      <c r="D73">
        <v>1731</v>
      </c>
    </row>
    <row r="74" spans="1:4" x14ac:dyDescent="0.2">
      <c r="A74">
        <v>72</v>
      </c>
      <c r="B74">
        <v>2.63161524301582E-2</v>
      </c>
      <c r="C74">
        <v>70394</v>
      </c>
      <c r="D74">
        <v>1852</v>
      </c>
    </row>
    <row r="75" spans="1:4" x14ac:dyDescent="0.2">
      <c r="A75">
        <v>73</v>
      </c>
      <c r="B75">
        <v>2.8511798806604299E-2</v>
      </c>
      <c r="C75">
        <v>68542</v>
      </c>
      <c r="D75">
        <v>1954</v>
      </c>
    </row>
    <row r="76" spans="1:4" x14ac:dyDescent="0.2">
      <c r="A76">
        <v>74</v>
      </c>
      <c r="B76">
        <v>3.2144199338317102E-2</v>
      </c>
      <c r="C76">
        <v>66588</v>
      </c>
      <c r="D76">
        <v>2140</v>
      </c>
    </row>
    <row r="77" spans="1:4" x14ac:dyDescent="0.2">
      <c r="A77">
        <v>75</v>
      </c>
      <c r="B77">
        <v>3.43383324788391E-2</v>
      </c>
      <c r="C77">
        <v>64448</v>
      </c>
      <c r="D77">
        <v>2213</v>
      </c>
    </row>
    <row r="78" spans="1:4" x14ac:dyDescent="0.2">
      <c r="A78">
        <v>76</v>
      </c>
      <c r="B78">
        <v>3.82387122266152E-2</v>
      </c>
      <c r="C78">
        <v>62235</v>
      </c>
      <c r="D78">
        <v>2380</v>
      </c>
    </row>
    <row r="79" spans="1:4" x14ac:dyDescent="0.2">
      <c r="A79">
        <v>77</v>
      </c>
      <c r="B79">
        <v>4.2151081121333901E-2</v>
      </c>
      <c r="C79">
        <v>59855</v>
      </c>
      <c r="D79">
        <v>2523</v>
      </c>
    </row>
    <row r="80" spans="1:4" x14ac:dyDescent="0.2">
      <c r="A80">
        <v>78</v>
      </c>
      <c r="B80">
        <v>4.7258583756993301E-2</v>
      </c>
      <c r="C80">
        <v>57332</v>
      </c>
      <c r="D80">
        <v>2709</v>
      </c>
    </row>
    <row r="81" spans="1:4" x14ac:dyDescent="0.2">
      <c r="A81">
        <v>79</v>
      </c>
      <c r="B81">
        <v>5.2450543695466902E-2</v>
      </c>
      <c r="C81">
        <v>54623</v>
      </c>
      <c r="D81">
        <v>2865</v>
      </c>
    </row>
    <row r="82" spans="1:4" x14ac:dyDescent="0.2">
      <c r="A82">
        <v>80</v>
      </c>
      <c r="B82">
        <v>5.5849386364074799E-2</v>
      </c>
      <c r="C82">
        <v>51758</v>
      </c>
      <c r="D82">
        <v>2891</v>
      </c>
    </row>
    <row r="83" spans="1:4" x14ac:dyDescent="0.2">
      <c r="A83">
        <v>81</v>
      </c>
      <c r="B83">
        <v>6.2025601790022498E-2</v>
      </c>
      <c r="C83">
        <v>48867</v>
      </c>
      <c r="D83">
        <v>3031</v>
      </c>
    </row>
    <row r="84" spans="1:4" x14ac:dyDescent="0.2">
      <c r="A84">
        <v>82</v>
      </c>
      <c r="B84">
        <v>6.9192497387219207E-2</v>
      </c>
      <c r="C84">
        <v>45836</v>
      </c>
      <c r="D84">
        <v>3172</v>
      </c>
    </row>
    <row r="85" spans="1:4" x14ac:dyDescent="0.2">
      <c r="A85">
        <v>83</v>
      </c>
      <c r="B85">
        <v>7.7573141071100096E-2</v>
      </c>
      <c r="C85">
        <v>42664</v>
      </c>
      <c r="D85">
        <v>3310</v>
      </c>
    </row>
    <row r="86" spans="1:4" x14ac:dyDescent="0.2">
      <c r="A86">
        <v>84</v>
      </c>
      <c r="B86">
        <v>8.7260870263473997E-2</v>
      </c>
      <c r="C86">
        <v>39354</v>
      </c>
      <c r="D86">
        <v>3434</v>
      </c>
    </row>
    <row r="87" spans="1:4" x14ac:dyDescent="0.2">
      <c r="A87">
        <v>85</v>
      </c>
      <c r="B87">
        <v>9.2609183313815499E-2</v>
      </c>
      <c r="C87">
        <v>35920</v>
      </c>
      <c r="D87">
        <v>3327</v>
      </c>
    </row>
    <row r="88" spans="1:4" x14ac:dyDescent="0.2">
      <c r="A88">
        <v>86</v>
      </c>
      <c r="B88">
        <v>0.10211429614381801</v>
      </c>
      <c r="C88">
        <v>32593</v>
      </c>
      <c r="D88">
        <v>3328</v>
      </c>
    </row>
    <row r="89" spans="1:4" x14ac:dyDescent="0.2">
      <c r="A89">
        <v>87</v>
      </c>
      <c r="B89">
        <v>0.115185207637354</v>
      </c>
      <c r="C89">
        <v>29265</v>
      </c>
      <c r="D89">
        <v>3371</v>
      </c>
    </row>
    <row r="90" spans="1:4" x14ac:dyDescent="0.2">
      <c r="A90">
        <v>88</v>
      </c>
      <c r="B90">
        <v>0.12952965774796901</v>
      </c>
      <c r="C90">
        <v>25894</v>
      </c>
      <c r="D90">
        <v>3354</v>
      </c>
    </row>
    <row r="91" spans="1:4" x14ac:dyDescent="0.2">
      <c r="A91">
        <v>89</v>
      </c>
      <c r="B91">
        <v>0.145169501476098</v>
      </c>
      <c r="C91">
        <v>22540</v>
      </c>
      <c r="D91">
        <v>3272</v>
      </c>
    </row>
    <row r="92" spans="1:4" x14ac:dyDescent="0.2">
      <c r="A92">
        <v>90</v>
      </c>
      <c r="B92">
        <v>0.151639144373968</v>
      </c>
      <c r="C92">
        <v>19268</v>
      </c>
      <c r="D92">
        <v>2922</v>
      </c>
    </row>
    <row r="93" spans="1:4" x14ac:dyDescent="0.2">
      <c r="A93">
        <v>91</v>
      </c>
      <c r="B93">
        <v>0.168711867490803</v>
      </c>
      <c r="C93">
        <v>16346</v>
      </c>
      <c r="D93">
        <v>2758</v>
      </c>
    </row>
    <row r="94" spans="1:4" x14ac:dyDescent="0.2">
      <c r="A94">
        <v>92</v>
      </c>
      <c r="B94">
        <v>0.18691401927280599</v>
      </c>
      <c r="C94">
        <v>13588</v>
      </c>
      <c r="D94">
        <v>2540</v>
      </c>
    </row>
    <row r="95" spans="1:4" x14ac:dyDescent="0.2">
      <c r="A95">
        <v>93</v>
      </c>
      <c r="B95">
        <v>0.20614961196741799</v>
      </c>
      <c r="C95">
        <v>11048</v>
      </c>
      <c r="D95">
        <v>2278</v>
      </c>
    </row>
    <row r="96" spans="1:4" x14ac:dyDescent="0.2">
      <c r="A96">
        <v>94</v>
      </c>
      <c r="B96">
        <v>0.22628776293905101</v>
      </c>
      <c r="C96">
        <v>8770</v>
      </c>
      <c r="D96">
        <v>1985</v>
      </c>
    </row>
    <row r="97" spans="1:4" x14ac:dyDescent="0.2">
      <c r="A97">
        <v>95</v>
      </c>
      <c r="B97">
        <v>0.41085050022233399</v>
      </c>
      <c r="C97">
        <v>6785</v>
      </c>
      <c r="D97">
        <v>2788</v>
      </c>
    </row>
    <row r="98" spans="1:4" x14ac:dyDescent="0.2">
      <c r="A98">
        <v>96</v>
      </c>
      <c r="B98">
        <v>0.444023673548821</v>
      </c>
      <c r="C98">
        <v>3997</v>
      </c>
      <c r="D98">
        <v>1775</v>
      </c>
    </row>
    <row r="99" spans="1:4" x14ac:dyDescent="0.2">
      <c r="A99">
        <v>97</v>
      </c>
      <c r="B99">
        <v>0.47722860191718702</v>
      </c>
      <c r="C99">
        <v>2222</v>
      </c>
      <c r="D99">
        <v>1060</v>
      </c>
    </row>
    <row r="100" spans="1:4" x14ac:dyDescent="0.2">
      <c r="A100">
        <v>98</v>
      </c>
      <c r="B100">
        <v>0.51007580607474101</v>
      </c>
      <c r="C100">
        <v>1162</v>
      </c>
      <c r="D100">
        <v>593</v>
      </c>
    </row>
    <row r="101" spans="1:4" x14ac:dyDescent="0.2">
      <c r="A101">
        <v>99</v>
      </c>
      <c r="B101">
        <v>0.54218773055666702</v>
      </c>
      <c r="C101">
        <v>569</v>
      </c>
      <c r="D101">
        <v>309</v>
      </c>
    </row>
    <row r="102" spans="1:4" x14ac:dyDescent="0.2">
      <c r="A102">
        <v>100</v>
      </c>
      <c r="B102">
        <v>1</v>
      </c>
      <c r="C102">
        <v>260</v>
      </c>
      <c r="D102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3411-EBB3-9B45-A4DC-FC5EE36004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1E6A-310F-EF49-953C-FAAB350017BC}">
  <dimension ref="B1:AE10"/>
  <sheetViews>
    <sheetView zoomScale="166" zoomScaleNormal="166" workbookViewId="0">
      <selection activeCell="D4" sqref="D4"/>
    </sheetView>
  </sheetViews>
  <sheetFormatPr baseColWidth="10" defaultRowHeight="16" x14ac:dyDescent="0.2"/>
  <cols>
    <col min="1" max="2" width="10.83203125" style="2"/>
    <col min="3" max="3" width="15.83203125" style="2" customWidth="1"/>
    <col min="4" max="6" width="12" style="39" customWidth="1"/>
    <col min="7" max="7" width="3.83203125" style="39" customWidth="1"/>
    <col min="8" max="8" width="12.1640625" style="39" customWidth="1"/>
    <col min="9" max="11" width="14.5" style="2" customWidth="1"/>
    <col min="12" max="12" width="3.83203125" style="39" customWidth="1"/>
    <col min="13" max="13" width="10.6640625" style="2" customWidth="1"/>
    <col min="14" max="16384" width="10.83203125" style="2"/>
  </cols>
  <sheetData>
    <row r="1" spans="2:31" ht="37" customHeight="1" x14ac:dyDescent="0.2">
      <c r="C1" s="68" t="s">
        <v>102</v>
      </c>
      <c r="D1" s="68"/>
      <c r="E1" s="68"/>
      <c r="F1" s="68"/>
      <c r="I1" s="69" t="s">
        <v>95</v>
      </c>
      <c r="J1" s="69"/>
      <c r="K1" s="69"/>
      <c r="M1" s="30" t="s">
        <v>96</v>
      </c>
      <c r="N1" s="38"/>
      <c r="O1" s="38"/>
      <c r="Q1" s="30" t="s">
        <v>97</v>
      </c>
      <c r="R1" s="38"/>
      <c r="S1" s="38"/>
      <c r="U1" s="30" t="s">
        <v>98</v>
      </c>
      <c r="V1" s="38"/>
      <c r="W1" s="38"/>
      <c r="Y1" s="30" t="s">
        <v>99</v>
      </c>
      <c r="Z1" s="38"/>
      <c r="AA1" s="38"/>
      <c r="AC1" s="30" t="s">
        <v>100</v>
      </c>
      <c r="AD1" s="38"/>
      <c r="AE1" s="38"/>
    </row>
    <row r="2" spans="2:31" ht="17" x14ac:dyDescent="0.2">
      <c r="B2" s="40" t="s">
        <v>37</v>
      </c>
      <c r="C2" s="40" t="s">
        <v>59</v>
      </c>
      <c r="D2" s="49" t="s">
        <v>44</v>
      </c>
      <c r="E2" s="50" t="s">
        <v>46</v>
      </c>
      <c r="F2" s="50" t="s">
        <v>48</v>
      </c>
      <c r="G2" s="42"/>
      <c r="H2" s="42"/>
      <c r="I2" s="41" t="s">
        <v>44</v>
      </c>
      <c r="J2" s="42" t="s">
        <v>46</v>
      </c>
      <c r="K2" s="42" t="s">
        <v>48</v>
      </c>
      <c r="L2" s="42"/>
      <c r="M2" s="43"/>
    </row>
    <row r="3" spans="2:31" ht="17" x14ac:dyDescent="0.2">
      <c r="B3" s="44" t="s">
        <v>45</v>
      </c>
      <c r="C3" s="45" t="s">
        <v>44</v>
      </c>
      <c r="D3" s="29" t="e" cm="1">
        <f t="array" ref="D3">-(r_HS + r_HD)*n_cycle_length</f>
        <v>#NAME?</v>
      </c>
      <c r="E3" s="27">
        <f>r_HS*n_cycle_length</f>
        <v>0.1</v>
      </c>
      <c r="F3" s="27" t="e">
        <f>r_HD*n_cycle_length</f>
        <v>#NAME?</v>
      </c>
      <c r="G3" s="46"/>
      <c r="H3" s="60" t="s">
        <v>103</v>
      </c>
      <c r="I3" s="61" t="e">
        <f>M3+Q3+(1/FACT(2))*U3 + (1/FACT(3))*Y3+(1/FACT(4))*AC3</f>
        <v>#NAME?</v>
      </c>
      <c r="J3" s="61">
        <f t="shared" ref="I3:K5" si="0">N3+R3+(1/FACT(2))*V3 + (1/FACT(3))*Z3+(1/FACT(4))*AD3</f>
        <v>0.1</v>
      </c>
      <c r="K3" s="61" t="e">
        <f t="shared" si="0"/>
        <v>#NAME?</v>
      </c>
      <c r="L3" s="46"/>
      <c r="M3" s="47">
        <v>1</v>
      </c>
      <c r="N3" s="47">
        <v>0</v>
      </c>
      <c r="O3" s="47">
        <v>0</v>
      </c>
      <c r="Q3" s="57" t="e">
        <f>D3</f>
        <v>#NAME?</v>
      </c>
      <c r="R3" s="57">
        <f t="shared" ref="R3:R5" si="1">E3</f>
        <v>0.1</v>
      </c>
      <c r="S3" s="57" t="e">
        <f t="shared" ref="S3:S5" si="2">F3</f>
        <v>#NAME?</v>
      </c>
      <c r="T3" s="56"/>
      <c r="U3" s="57" t="e" cm="1">
        <f t="array" ref="U3">MMULT(Q3:S5,Q3:S5)</f>
        <v>#NAME?</v>
      </c>
      <c r="V3" s="57"/>
      <c r="W3" s="57"/>
      <c r="X3" s="56"/>
      <c r="Y3" s="57" t="e" cm="1">
        <f t="array" ref="Y3">MMULT(_xlfn.ANCHORARRAY(U3),D3:F5)</f>
        <v>#NAME?</v>
      </c>
      <c r="Z3" s="57"/>
      <c r="AA3" s="57"/>
      <c r="AB3" s="56"/>
      <c r="AC3" s="57" t="e" cm="1">
        <f t="array" ref="AC3">MMULT(_xlfn.ANCHORARRAY(Y3),D3:F5)</f>
        <v>#NAME?</v>
      </c>
      <c r="AD3" s="57"/>
      <c r="AE3" s="58"/>
    </row>
    <row r="4" spans="2:31" x14ac:dyDescent="0.2">
      <c r="B4" s="44" t="s">
        <v>45</v>
      </c>
      <c r="C4" s="45" t="s">
        <v>46</v>
      </c>
      <c r="D4" s="27">
        <v>0</v>
      </c>
      <c r="E4" s="29" t="e">
        <f>-(hr_S * r_HD)*n_cycle_length</f>
        <v>#NAME?</v>
      </c>
      <c r="F4" s="27" t="e">
        <f>hr_S * r_HD*n_cycle_length</f>
        <v>#NAME?</v>
      </c>
      <c r="G4" s="46"/>
      <c r="H4" s="60"/>
      <c r="I4" s="61">
        <f t="shared" si="0"/>
        <v>0</v>
      </c>
      <c r="J4" s="61" t="e">
        <f t="shared" si="0"/>
        <v>#NAME?</v>
      </c>
      <c r="K4" s="61" t="e">
        <f t="shared" si="0"/>
        <v>#NAME?</v>
      </c>
      <c r="L4" s="46"/>
      <c r="M4" s="47">
        <v>0</v>
      </c>
      <c r="N4" s="47">
        <v>1</v>
      </c>
      <c r="O4" s="47">
        <v>0</v>
      </c>
      <c r="Q4" s="57">
        <f t="shared" ref="Q4:Q5" si="3">D4</f>
        <v>0</v>
      </c>
      <c r="R4" s="57" t="e">
        <f t="shared" si="1"/>
        <v>#NAME?</v>
      </c>
      <c r="S4" s="57" t="e">
        <f t="shared" si="2"/>
        <v>#NAME?</v>
      </c>
      <c r="T4" s="56"/>
      <c r="U4" s="57"/>
      <c r="V4" s="57"/>
      <c r="W4" s="57"/>
      <c r="X4" s="56"/>
      <c r="Y4" s="57"/>
      <c r="Z4" s="57"/>
      <c r="AA4" s="57"/>
      <c r="AB4" s="56"/>
      <c r="AC4" s="57"/>
      <c r="AD4" s="57"/>
      <c r="AE4" s="58"/>
    </row>
    <row r="5" spans="2:31" x14ac:dyDescent="0.2">
      <c r="B5" s="44" t="s">
        <v>45</v>
      </c>
      <c r="C5" s="45" t="s">
        <v>48</v>
      </c>
      <c r="D5" s="27">
        <v>0</v>
      </c>
      <c r="E5" s="27">
        <v>0</v>
      </c>
      <c r="F5" s="29">
        <v>0</v>
      </c>
      <c r="G5" s="46"/>
      <c r="H5" s="60"/>
      <c r="I5" s="61">
        <f t="shared" si="0"/>
        <v>0</v>
      </c>
      <c r="J5" s="61">
        <f t="shared" si="0"/>
        <v>0</v>
      </c>
      <c r="K5" s="61">
        <f t="shared" si="0"/>
        <v>1</v>
      </c>
      <c r="L5" s="46"/>
      <c r="M5" s="47">
        <v>0</v>
      </c>
      <c r="N5" s="47">
        <v>0</v>
      </c>
      <c r="O5" s="47">
        <v>1</v>
      </c>
      <c r="Q5" s="57">
        <f t="shared" si="3"/>
        <v>0</v>
      </c>
      <c r="R5" s="57">
        <f t="shared" si="1"/>
        <v>0</v>
      </c>
      <c r="S5" s="57">
        <f t="shared" si="2"/>
        <v>0</v>
      </c>
      <c r="T5" s="56"/>
      <c r="U5" s="57"/>
      <c r="V5" s="57"/>
      <c r="W5" s="57"/>
      <c r="X5" s="56"/>
      <c r="Y5" s="57"/>
      <c r="Z5" s="57"/>
      <c r="AA5" s="57"/>
      <c r="AB5" s="56"/>
      <c r="AC5" s="57"/>
      <c r="AD5" s="57"/>
      <c r="AE5" s="58"/>
    </row>
    <row r="6" spans="2:31" x14ac:dyDescent="0.2">
      <c r="B6" s="48"/>
      <c r="C6" s="48"/>
      <c r="D6" s="50"/>
      <c r="E6" s="50"/>
      <c r="F6" s="50"/>
      <c r="G6" s="42"/>
      <c r="H6" s="62"/>
      <c r="I6" s="63"/>
      <c r="J6" s="63"/>
      <c r="K6" s="63"/>
      <c r="L6" s="42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9"/>
    </row>
    <row r="7" spans="2:31" ht="17" x14ac:dyDescent="0.2">
      <c r="B7" s="44" t="s">
        <v>49</v>
      </c>
      <c r="C7" s="45" t="s">
        <v>44</v>
      </c>
      <c r="D7" s="29" t="e">
        <f>-(r_HS * hr_HS_trtB + r_HD)*n_cycle_length</f>
        <v>#NAME?</v>
      </c>
      <c r="E7" s="27" t="e">
        <f>hr_HS_trtB * r_HS*n_cycle_length</f>
        <v>#NAME?</v>
      </c>
      <c r="F7" s="27" t="e">
        <f>r_HD*n_cycle_length</f>
        <v>#NAME?</v>
      </c>
      <c r="G7" s="46"/>
      <c r="H7" s="60" t="s">
        <v>104</v>
      </c>
      <c r="I7" s="61" t="e">
        <f t="shared" ref="I7:K9" si="4">M7+Q7+(1/FACT(2))*U7 + (1/FACT(3))*Y7+(1/FACT(4))*AC7</f>
        <v>#NAME?</v>
      </c>
      <c r="J7" s="61" t="e">
        <f t="shared" si="4"/>
        <v>#NAME?</v>
      </c>
      <c r="K7" s="61" t="e">
        <f t="shared" si="4"/>
        <v>#NAME?</v>
      </c>
      <c r="L7" s="46"/>
      <c r="M7" s="47">
        <v>1</v>
      </c>
      <c r="N7" s="47">
        <v>0</v>
      </c>
      <c r="O7" s="47">
        <v>0</v>
      </c>
      <c r="Q7" s="57" t="e">
        <f>D7</f>
        <v>#NAME?</v>
      </c>
      <c r="R7" s="57" t="e">
        <f t="shared" ref="R7:R9" si="5">E7</f>
        <v>#NAME?</v>
      </c>
      <c r="S7" s="57" t="e">
        <f t="shared" ref="S7:S9" si="6">F7</f>
        <v>#NAME?</v>
      </c>
      <c r="T7" s="56"/>
      <c r="U7" s="57" t="e" cm="1">
        <f t="array" ref="U7">MMULT(Q7:S9,Q7:S9)</f>
        <v>#NAME?</v>
      </c>
      <c r="V7" s="57"/>
      <c r="W7" s="57"/>
      <c r="X7" s="56"/>
      <c r="Y7" s="57" t="e" cm="1">
        <f t="array" ref="Y7">MMULT(_xlfn.ANCHORARRAY(U7),Q7:S9)</f>
        <v>#NAME?</v>
      </c>
      <c r="Z7" s="57"/>
      <c r="AA7" s="57"/>
      <c r="AB7" s="56"/>
      <c r="AC7" s="57" t="e" cm="1">
        <f t="array" ref="AC7">MMULT(_xlfn.ANCHORARRAY(Y7),Q7:S9)</f>
        <v>#NAME?</v>
      </c>
      <c r="AD7" s="57"/>
      <c r="AE7" s="58"/>
    </row>
    <row r="8" spans="2:31" x14ac:dyDescent="0.2">
      <c r="B8" s="44" t="s">
        <v>49</v>
      </c>
      <c r="C8" s="45" t="s">
        <v>101</v>
      </c>
      <c r="D8" s="27">
        <v>0</v>
      </c>
      <c r="E8" s="29" t="e">
        <f>-(hr_S * r_HD)*n_cycle_length</f>
        <v>#NAME?</v>
      </c>
      <c r="F8" s="27" t="e">
        <f>hr_S * r_HD*n_cycle_length</f>
        <v>#NAME?</v>
      </c>
      <c r="G8" s="46"/>
      <c r="H8" s="60"/>
      <c r="I8" s="61">
        <f t="shared" si="4"/>
        <v>0</v>
      </c>
      <c r="J8" s="61" t="e">
        <f t="shared" si="4"/>
        <v>#NAME?</v>
      </c>
      <c r="K8" s="61" t="e">
        <f t="shared" si="4"/>
        <v>#NAME?</v>
      </c>
      <c r="L8" s="46"/>
      <c r="M8" s="47">
        <v>0</v>
      </c>
      <c r="N8" s="47">
        <v>1</v>
      </c>
      <c r="O8" s="47">
        <v>0</v>
      </c>
      <c r="Q8" s="57">
        <f t="shared" ref="Q8:Q9" si="7">D8</f>
        <v>0</v>
      </c>
      <c r="R8" s="57" t="e">
        <f t="shared" si="5"/>
        <v>#NAME?</v>
      </c>
      <c r="S8" s="57" t="e">
        <f t="shared" si="6"/>
        <v>#NAME?</v>
      </c>
      <c r="T8" s="56"/>
      <c r="U8" s="57"/>
      <c r="V8" s="57"/>
      <c r="W8" s="57"/>
      <c r="X8" s="56"/>
      <c r="Y8" s="57"/>
      <c r="Z8" s="57"/>
      <c r="AA8" s="57"/>
      <c r="AB8" s="56"/>
      <c r="AC8" s="57"/>
      <c r="AD8" s="57"/>
      <c r="AE8" s="58"/>
    </row>
    <row r="9" spans="2:31" x14ac:dyDescent="0.2">
      <c r="B9" s="44" t="s">
        <v>49</v>
      </c>
      <c r="C9" s="45" t="s">
        <v>48</v>
      </c>
      <c r="D9" s="27">
        <v>0</v>
      </c>
      <c r="E9" s="27">
        <v>0</v>
      </c>
      <c r="F9" s="29">
        <v>0</v>
      </c>
      <c r="G9" s="46"/>
      <c r="H9" s="60"/>
      <c r="I9" s="61">
        <f t="shared" si="4"/>
        <v>0</v>
      </c>
      <c r="J9" s="61">
        <f t="shared" si="4"/>
        <v>0</v>
      </c>
      <c r="K9" s="61">
        <f t="shared" si="4"/>
        <v>1</v>
      </c>
      <c r="L9" s="46"/>
      <c r="M9" s="47">
        <v>0</v>
      </c>
      <c r="N9" s="47">
        <v>0</v>
      </c>
      <c r="O9" s="47">
        <v>1</v>
      </c>
      <c r="Q9" s="57">
        <f t="shared" si="7"/>
        <v>0</v>
      </c>
      <c r="R9" s="57">
        <f t="shared" si="5"/>
        <v>0</v>
      </c>
      <c r="S9" s="57">
        <f t="shared" si="6"/>
        <v>0</v>
      </c>
      <c r="T9" s="56"/>
      <c r="U9" s="57"/>
      <c r="V9" s="57"/>
      <c r="W9" s="57"/>
      <c r="X9" s="56"/>
      <c r="Y9" s="57"/>
      <c r="Z9" s="57"/>
      <c r="AA9" s="57"/>
      <c r="AB9" s="56"/>
      <c r="AC9" s="57"/>
      <c r="AD9" s="57"/>
      <c r="AE9" s="58"/>
    </row>
    <row r="10" spans="2:31" x14ac:dyDescent="0.2">
      <c r="C10" s="45"/>
      <c r="G10" s="46"/>
      <c r="H10" s="60"/>
      <c r="I10" s="63"/>
      <c r="J10" s="63"/>
      <c r="K10" s="63"/>
      <c r="L10" s="4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9"/>
    </row>
  </sheetData>
  <mergeCells count="2">
    <mergeCell ref="C1:F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5F6C-E0BF-F647-B116-9772CB6F7E24}">
  <dimension ref="B1:L10"/>
  <sheetViews>
    <sheetView zoomScale="166" zoomScaleNormal="166" workbookViewId="0">
      <selection activeCell="A11" sqref="A11:XFD21"/>
    </sheetView>
  </sheetViews>
  <sheetFormatPr baseColWidth="10" defaultRowHeight="16" x14ac:dyDescent="0.2"/>
  <cols>
    <col min="1" max="2" width="10.83203125" style="2"/>
    <col min="3" max="3" width="15.83203125" style="2" customWidth="1"/>
    <col min="4" max="6" width="12" style="39" customWidth="1"/>
    <col min="7" max="7" width="3.83203125" style="39" customWidth="1"/>
    <col min="8" max="8" width="12.1640625" style="39" customWidth="1"/>
    <col min="9" max="11" width="14.5" style="2" customWidth="1"/>
    <col min="12" max="12" width="3.83203125" style="39" customWidth="1"/>
    <col min="13" max="16384" width="10.83203125" style="2"/>
  </cols>
  <sheetData>
    <row r="1" spans="2:12" ht="37" customHeight="1" x14ac:dyDescent="0.2">
      <c r="C1" s="68" t="s">
        <v>102</v>
      </c>
      <c r="D1" s="68"/>
      <c r="E1" s="68"/>
      <c r="F1" s="68"/>
      <c r="I1" s="69" t="s">
        <v>95</v>
      </c>
      <c r="J1" s="69"/>
      <c r="K1" s="69"/>
    </row>
    <row r="2" spans="2:12" ht="17" x14ac:dyDescent="0.2">
      <c r="B2" s="40" t="s">
        <v>37</v>
      </c>
      <c r="C2" s="40" t="s">
        <v>59</v>
      </c>
      <c r="D2" s="49" t="s">
        <v>44</v>
      </c>
      <c r="E2" s="50" t="s">
        <v>46</v>
      </c>
      <c r="F2" s="50" t="s">
        <v>48</v>
      </c>
      <c r="G2" s="42"/>
      <c r="H2" s="42"/>
      <c r="I2" s="41" t="s">
        <v>44</v>
      </c>
      <c r="J2" s="42" t="s">
        <v>46</v>
      </c>
      <c r="K2" s="42" t="s">
        <v>48</v>
      </c>
      <c r="L2" s="42"/>
    </row>
    <row r="3" spans="2:12" ht="17" x14ac:dyDescent="0.2">
      <c r="B3" s="44" t="s">
        <v>45</v>
      </c>
      <c r="C3" s="45" t="s">
        <v>44</v>
      </c>
      <c r="D3" s="29" t="e">
        <f>-(r_HS + r_HD)</f>
        <v>#NAME?</v>
      </c>
      <c r="E3" s="27">
        <f>r_HS</f>
        <v>0.1</v>
      </c>
      <c r="F3" s="27" t="e">
        <f>r_HD</f>
        <v>#NAME?</v>
      </c>
      <c r="G3" s="46"/>
      <c r="H3" s="60" t="s">
        <v>103</v>
      </c>
      <c r="I3" s="61" t="e">
        <f>EXP(-(E3+F3)*n_cycle_length)</f>
        <v>#NAME?</v>
      </c>
      <c r="J3" s="61" t="e">
        <f>(E3/(E3+F3))*(1-EXP(-(E3+F3)*n_cycle_length))</f>
        <v>#NAME?</v>
      </c>
      <c r="K3" s="61" t="e">
        <f>(F3/(E3+F3))*(1-EXP(-(E3+F3)*n_cycle_length))</f>
        <v>#NAME?</v>
      </c>
      <c r="L3" s="46"/>
    </row>
    <row r="4" spans="2:12" x14ac:dyDescent="0.2">
      <c r="B4" s="44" t="s">
        <v>45</v>
      </c>
      <c r="C4" s="45" t="s">
        <v>46</v>
      </c>
      <c r="D4" s="27">
        <v>0</v>
      </c>
      <c r="E4" s="29" t="e">
        <f>-(hr_S * r_HD)</f>
        <v>#NAME?</v>
      </c>
      <c r="F4" s="27" t="e">
        <f>hr_S * r_HD</f>
        <v>#NAME?</v>
      </c>
      <c r="G4" s="46"/>
      <c r="H4" s="60"/>
      <c r="I4" s="61">
        <v>0</v>
      </c>
      <c r="J4" s="61" t="e">
        <f>EXP(-F4*n_cycle_length)</f>
        <v>#NAME?</v>
      </c>
      <c r="K4" s="61" t="e">
        <f>1-EXP(-F4*n_cycle_length)</f>
        <v>#NAME?</v>
      </c>
      <c r="L4" s="46"/>
    </row>
    <row r="5" spans="2:12" x14ac:dyDescent="0.2">
      <c r="B5" s="44" t="s">
        <v>45</v>
      </c>
      <c r="C5" s="45" t="s">
        <v>48</v>
      </c>
      <c r="D5" s="27">
        <v>0</v>
      </c>
      <c r="E5" s="27">
        <v>0</v>
      </c>
      <c r="F5" s="29">
        <v>0</v>
      </c>
      <c r="G5" s="46"/>
      <c r="H5" s="60"/>
      <c r="I5" s="61">
        <v>0</v>
      </c>
      <c r="J5" s="61">
        <v>0</v>
      </c>
      <c r="K5" s="61">
        <v>1</v>
      </c>
      <c r="L5" s="46"/>
    </row>
    <row r="6" spans="2:12" x14ac:dyDescent="0.2">
      <c r="B6" s="48"/>
      <c r="C6" s="48"/>
      <c r="D6" s="50"/>
      <c r="E6" s="50"/>
      <c r="F6" s="50"/>
      <c r="G6" s="42"/>
      <c r="H6" s="62"/>
      <c r="I6" s="63"/>
      <c r="J6" s="63"/>
      <c r="K6" s="63"/>
      <c r="L6" s="42"/>
    </row>
    <row r="7" spans="2:12" ht="17" x14ac:dyDescent="0.2">
      <c r="B7" s="44" t="s">
        <v>49</v>
      </c>
      <c r="C7" s="45" t="s">
        <v>44</v>
      </c>
      <c r="D7" s="29" t="e">
        <f>-(r_HS * hr_HS_trtB + r_HD)</f>
        <v>#NAME?</v>
      </c>
      <c r="E7" s="27" t="e">
        <f>hr_HS_trtB * r_HS</f>
        <v>#NAME?</v>
      </c>
      <c r="F7" s="27" t="e">
        <f>r_HD</f>
        <v>#NAME?</v>
      </c>
      <c r="G7" s="46"/>
      <c r="H7" s="60" t="s">
        <v>104</v>
      </c>
      <c r="I7" s="61" t="e">
        <f>EXP(-(E7+F7)*n_cycle_length)</f>
        <v>#NAME?</v>
      </c>
      <c r="J7" s="61" t="e">
        <f>(E7/(E7+F7))*(1-EXP(-(E7+F7)*n_cycle_length))</f>
        <v>#NAME?</v>
      </c>
      <c r="K7" s="61" t="e">
        <f>(F7/(E7+F7))*(1-EXP(-(E7+F7)*n_cycle_length))</f>
        <v>#NAME?</v>
      </c>
      <c r="L7" s="46"/>
    </row>
    <row r="8" spans="2:12" x14ac:dyDescent="0.2">
      <c r="B8" s="44" t="s">
        <v>49</v>
      </c>
      <c r="C8" s="45" t="s">
        <v>101</v>
      </c>
      <c r="D8" s="27">
        <v>0</v>
      </c>
      <c r="E8" s="29" t="e">
        <f>-(hr_S * r_HD)</f>
        <v>#NAME?</v>
      </c>
      <c r="F8" s="27" t="e">
        <f>hr_S * r_HD</f>
        <v>#NAME?</v>
      </c>
      <c r="G8" s="46"/>
      <c r="H8" s="60"/>
      <c r="I8" s="61">
        <v>0</v>
      </c>
      <c r="J8" s="61" t="e">
        <f>EXP(-F8*n_cycle_length)</f>
        <v>#NAME?</v>
      </c>
      <c r="K8" s="61" t="e">
        <f>1-EXP(-F8*n_cycle_length)</f>
        <v>#NAME?</v>
      </c>
      <c r="L8" s="46"/>
    </row>
    <row r="9" spans="2:12" x14ac:dyDescent="0.2">
      <c r="B9" s="44" t="s">
        <v>49</v>
      </c>
      <c r="C9" s="45" t="s">
        <v>48</v>
      </c>
      <c r="D9" s="27">
        <v>0</v>
      </c>
      <c r="E9" s="27">
        <v>0</v>
      </c>
      <c r="F9" s="29">
        <v>0</v>
      </c>
      <c r="G9" s="46"/>
      <c r="H9" s="60"/>
      <c r="I9" s="61">
        <v>0</v>
      </c>
      <c r="J9" s="61">
        <v>0</v>
      </c>
      <c r="K9" s="61">
        <v>1</v>
      </c>
      <c r="L9" s="46"/>
    </row>
    <row r="10" spans="2:12" x14ac:dyDescent="0.2">
      <c r="C10" s="45"/>
      <c r="G10" s="46"/>
      <c r="H10" s="60"/>
      <c r="I10" s="63"/>
      <c r="J10" s="63"/>
      <c r="K10" s="63"/>
      <c r="L10" s="46"/>
    </row>
  </sheetData>
  <mergeCells count="2">
    <mergeCell ref="C1:F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0640-7836-2047-863B-193E72D29C49}">
  <dimension ref="A1:M23"/>
  <sheetViews>
    <sheetView zoomScale="136" zoomScaleNormal="136" workbookViewId="0">
      <selection activeCell="D13" sqref="D13"/>
    </sheetView>
  </sheetViews>
  <sheetFormatPr baseColWidth="10" defaultRowHeight="16" x14ac:dyDescent="0.2"/>
  <cols>
    <col min="1" max="1" width="10.83203125" style="2"/>
    <col min="2" max="2" width="37.33203125" style="2" customWidth="1"/>
    <col min="3" max="16384" width="10.83203125" style="2"/>
  </cols>
  <sheetData>
    <row r="1" spans="1:13" x14ac:dyDescent="0.2">
      <c r="A1" s="2" t="s">
        <v>1</v>
      </c>
      <c r="B1" s="9" t="s">
        <v>110</v>
      </c>
      <c r="C1" s="70" t="s">
        <v>112</v>
      </c>
      <c r="D1" s="71"/>
      <c r="E1" s="71"/>
      <c r="F1" s="71"/>
      <c r="G1" s="71"/>
      <c r="H1" s="71" t="s">
        <v>113</v>
      </c>
      <c r="I1" s="71"/>
      <c r="J1" s="71"/>
      <c r="K1" s="71"/>
      <c r="L1" s="71"/>
    </row>
    <row r="2" spans="1:13" x14ac:dyDescent="0.2">
      <c r="A2" s="2">
        <v>0.96</v>
      </c>
      <c r="B2" s="2" t="s">
        <v>91</v>
      </c>
      <c r="C2" s="65" t="e" cm="1">
        <f t="array" ref="C2">MMULT(TRANSPOSE(w_c_trtA),tot_cost_trtA)</f>
        <v>#NAME?</v>
      </c>
      <c r="D2" s="34" t="e" cm="1">
        <f t="array" ref="D2">MMULT(TRANSPOSE(w_c_trtB),tot_cost_trtB)</f>
        <v>#NAME?</v>
      </c>
      <c r="E2" s="34" t="e" cm="1">
        <f t="array" ref="E2">MMULT(TRANSPOSE(w_c_trtD),tot_cost_trtD)</f>
        <v>#NAME?</v>
      </c>
      <c r="F2" s="34" t="e" cm="1">
        <f t="array" ref="F2">MMULT(TRANSPOSE(w_c_trtC),tot_cost_trtC)</f>
        <v>#NAME?</v>
      </c>
      <c r="G2" s="34" t="e" cm="1">
        <f t="array" ref="G2">MMULT(TRANSPOSE(w_c_trtE),tot_cost_trtE)</f>
        <v>#NAME?</v>
      </c>
      <c r="H2" s="66" t="e" cm="1">
        <f t="array" ref="H2">MMULT(TRANSPOSE(w_e_trtA),tot_qaly_trtA)</f>
        <v>#NAME?</v>
      </c>
      <c r="I2" s="33" t="e" cm="1">
        <f t="array" ref="I2">MMULT(TRANSPOSE(w_c_trtB),tot_qaly_trtB)</f>
        <v>#NAME?</v>
      </c>
      <c r="J2" s="33" t="e" cm="1">
        <f t="array" ref="J2">MMULT(TRANSPOSE(w_c_trtD),tot_qaly_trtD)</f>
        <v>#NAME?</v>
      </c>
      <c r="K2" s="33" t="e" cm="1">
        <f t="array" ref="K2">MMULT(TRANSPOSE(w_c_trtC),tot_qaly_trtC)</f>
        <v>#NAME?</v>
      </c>
      <c r="L2" s="33" t="e" cm="1">
        <f t="array" ref="L2">MMULT(TRANSPOSE(w_c_trtE),tot_qaly_trtE)</f>
        <v>#NAME?</v>
      </c>
    </row>
    <row r="3" spans="1:13" x14ac:dyDescent="0.2">
      <c r="B3" s="2">
        <f ca="1">_xlfn.LOGNORM.INV(RAND(),LOG(0.96),0.02)</f>
        <v>0.96666509006416979</v>
      </c>
    </row>
    <row r="4" spans="1:13" x14ac:dyDescent="0.2">
      <c r="B4" s="2">
        <f t="shared" ref="B4:B20" ca="1" si="0">_xlfn.LOGNORM.INV(RAND(),LOG(0.96),0.02)</f>
        <v>1.0060157726154053</v>
      </c>
    </row>
    <row r="5" spans="1:13" x14ac:dyDescent="0.2">
      <c r="B5" s="2">
        <f t="shared" ca="1" si="0"/>
        <v>1.0003346875662302</v>
      </c>
    </row>
    <row r="6" spans="1:13" x14ac:dyDescent="0.2">
      <c r="B6" s="2">
        <f t="shared" ca="1" si="0"/>
        <v>0.98220435160548303</v>
      </c>
    </row>
    <row r="7" spans="1:13" x14ac:dyDescent="0.2">
      <c r="B7" s="2">
        <f t="shared" ca="1" si="0"/>
        <v>0.9763157080093452</v>
      </c>
    </row>
    <row r="8" spans="1:13" x14ac:dyDescent="0.2">
      <c r="B8" s="2">
        <f t="shared" ca="1" si="0"/>
        <v>0.94667561443567994</v>
      </c>
    </row>
    <row r="9" spans="1:13" x14ac:dyDescent="0.2">
      <c r="B9" s="2">
        <f t="shared" ca="1" si="0"/>
        <v>0.99029672094557786</v>
      </c>
    </row>
    <row r="10" spans="1:13" x14ac:dyDescent="0.2">
      <c r="B10" s="2">
        <f t="shared" ca="1" si="0"/>
        <v>0.9901020933808532</v>
      </c>
    </row>
    <row r="11" spans="1:13" x14ac:dyDescent="0.2">
      <c r="B11" s="2">
        <f t="shared" ca="1" si="0"/>
        <v>0.98542711740765898</v>
      </c>
    </row>
    <row r="12" spans="1:13" x14ac:dyDescent="0.2">
      <c r="B12" s="2">
        <f t="shared" ca="1" si="0"/>
        <v>0.97031575774192858</v>
      </c>
    </row>
    <row r="13" spans="1:13" x14ac:dyDescent="0.2">
      <c r="B13" s="2">
        <f t="shared" ca="1" si="0"/>
        <v>1.025612277431005</v>
      </c>
    </row>
    <row r="14" spans="1:13" x14ac:dyDescent="0.2">
      <c r="B14" s="2">
        <f t="shared" ca="1" si="0"/>
        <v>0.96848547181041444</v>
      </c>
      <c r="I14" s="65"/>
      <c r="J14" s="34"/>
      <c r="K14" s="34"/>
      <c r="L14" s="34"/>
      <c r="M14" s="34"/>
    </row>
    <row r="15" spans="1:13" x14ac:dyDescent="0.2">
      <c r="B15" s="2">
        <f t="shared" ca="1" si="0"/>
        <v>0.99802974191317695</v>
      </c>
    </row>
    <row r="16" spans="1:13" x14ac:dyDescent="0.2">
      <c r="B16" s="2">
        <f t="shared" ca="1" si="0"/>
        <v>0.97197980272476625</v>
      </c>
    </row>
    <row r="17" spans="1:2" x14ac:dyDescent="0.2">
      <c r="B17" s="2">
        <f t="shared" ca="1" si="0"/>
        <v>0.97992851137949222</v>
      </c>
    </row>
    <row r="18" spans="1:2" x14ac:dyDescent="0.2">
      <c r="B18" s="2">
        <f t="shared" ca="1" si="0"/>
        <v>0.96461863209077603</v>
      </c>
    </row>
    <row r="19" spans="1:2" x14ac:dyDescent="0.2">
      <c r="B19" s="2">
        <f t="shared" ca="1" si="0"/>
        <v>0.98207639359776278</v>
      </c>
    </row>
    <row r="20" spans="1:2" x14ac:dyDescent="0.2">
      <c r="B20" s="2">
        <f t="shared" ca="1" si="0"/>
        <v>0.96766331008035278</v>
      </c>
    </row>
    <row r="23" spans="1:2" x14ac:dyDescent="0.2">
      <c r="A23" s="67" t="s">
        <v>111</v>
      </c>
    </row>
  </sheetData>
  <mergeCells count="2">
    <mergeCell ref="C1:G1"/>
    <mergeCell ref="H1:L1"/>
  </mergeCells>
  <hyperlinks>
    <hyperlink ref="A23" r:id="rId1" location=":~:text=Because%20the%20data%20table%20values,values%2C%20follow%20the%20steps%20below." xr:uid="{8D8AC45B-E422-E244-83B1-8BB1374BAE3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CC25-A386-094E-A3AE-71B561C84095}">
  <dimension ref="A1:Y79"/>
  <sheetViews>
    <sheetView tabSelected="1" topLeftCell="D1" zoomScale="151" zoomScaleNormal="151" workbookViewId="0">
      <selection activeCell="S14" sqref="S14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72" t="s">
        <v>50</v>
      </c>
      <c r="H1" s="72"/>
      <c r="I1" s="72"/>
      <c r="J1" s="72"/>
      <c r="K1" s="12"/>
      <c r="L1" s="13" t="s">
        <v>51</v>
      </c>
      <c r="M1" s="14"/>
      <c r="N1" s="13" t="s">
        <v>52</v>
      </c>
      <c r="O1" s="15"/>
      <c r="P1" s="72" t="s">
        <v>53</v>
      </c>
      <c r="Q1" s="72"/>
      <c r="R1" s="12"/>
      <c r="S1" s="13" t="s">
        <v>54</v>
      </c>
      <c r="T1" s="15"/>
      <c r="U1" s="13" t="s">
        <v>55</v>
      </c>
      <c r="V1" s="13" t="s">
        <v>56</v>
      </c>
      <c r="W1" s="14"/>
    </row>
    <row r="2" spans="1:25" x14ac:dyDescent="0.2">
      <c r="G2" s="16"/>
      <c r="H2" s="16"/>
      <c r="I2" s="16"/>
      <c r="J2" s="16"/>
      <c r="K2" s="16"/>
      <c r="X2" s="11" t="s">
        <v>57</v>
      </c>
      <c r="Y2" s="2" cm="1">
        <f t="array" ref="Y2">MMULT(TRANSPOSE(w_c_quo),tot_cost_quo)</f>
        <v>77414.220003798633</v>
      </c>
    </row>
    <row r="3" spans="1:25" ht="17" thickBot="1" x14ac:dyDescent="0.25">
      <c r="G3" s="18" t="s">
        <v>60</v>
      </c>
      <c r="H3" s="17" t="s">
        <v>44</v>
      </c>
      <c r="I3" s="17" t="s">
        <v>46</v>
      </c>
      <c r="J3" s="17" t="s">
        <v>48</v>
      </c>
      <c r="K3" s="11"/>
      <c r="L3" s="17" t="s">
        <v>154</v>
      </c>
      <c r="N3" s="17" t="s">
        <v>155</v>
      </c>
      <c r="P3" s="17" t="s">
        <v>107</v>
      </c>
      <c r="Q3" s="17" t="s">
        <v>108</v>
      </c>
      <c r="R3" s="11"/>
      <c r="S3" s="17" t="s">
        <v>109</v>
      </c>
      <c r="T3" s="11"/>
      <c r="U3" s="64" t="s">
        <v>152</v>
      </c>
      <c r="V3" s="64" t="s">
        <v>153</v>
      </c>
      <c r="X3" s="11" t="s">
        <v>61</v>
      </c>
      <c r="Y3" s="2" cm="1">
        <f t="array" ref="Y3">MMULT(TRANSPOSE(w_e_quo),tot_qaly_quo)</f>
        <v>7.2188061919070892</v>
      </c>
    </row>
    <row r="4" spans="1:25" x14ac:dyDescent="0.2">
      <c r="A4" s="11" t="s">
        <v>62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14">MMULT(H4:J14,D6:D8)</f>
        <v>8494</v>
      </c>
      <c r="N4" s="2" cm="1">
        <f t="array" ref="N4:N14">MMULT(H4:J14,E6:E8)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58</v>
      </c>
      <c r="C5" s="17" t="s">
        <v>59</v>
      </c>
      <c r="D5" s="17" t="s">
        <v>63</v>
      </c>
      <c r="E5" s="17" t="s">
        <v>64</v>
      </c>
      <c r="G5" s="22">
        <f>G4+1</f>
        <v>1</v>
      </c>
      <c r="H5" s="2">
        <f>H4*(1-p_HS)*(1-Life_table_HD!C57)</f>
        <v>0.90102250156201713</v>
      </c>
      <c r="I5" s="2">
        <f>I4*(1-Life_table_SD!B57)+H4*p_HS*(1-Life_table_HD!C57)</f>
        <v>9.4761363696094045E-2</v>
      </c>
      <c r="J5" s="2">
        <f>J4+I4*Life_table_SD!B57+H4*Life_table_HD!C57</f>
        <v>4.2161347418889199E-3</v>
      </c>
      <c r="L5" s="23">
        <v>8829.3684130999973</v>
      </c>
      <c r="N5" s="2">
        <v>0.97427303569909784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45</v>
      </c>
      <c r="C6" s="19" t="s">
        <v>44</v>
      </c>
      <c r="D6" s="19">
        <f>c_H_quo</f>
        <v>8494</v>
      </c>
      <c r="E6" s="19">
        <f>u_H_quo</f>
        <v>1</v>
      </c>
      <c r="G6" s="22">
        <f t="shared" ref="G6:G7" si="4">G5+1</f>
        <v>2</v>
      </c>
      <c r="H6" s="2">
        <f>H5*(1-p_HS)*(1-Life_table_HD!C58)</f>
        <v>0.8115661672057578</v>
      </c>
      <c r="I6" s="2">
        <f>I5*(1-Life_table_SD!B58)+H5*p_HS*(1-Life_table_HD!C58)</f>
        <v>0.17938255445928344</v>
      </c>
      <c r="J6" s="2">
        <f>J5+I5*Life_table_SD!B58+H5*Life_table_HD!C58</f>
        <v>9.0512783349589385E-3</v>
      </c>
      <c r="L6" s="23">
        <v>9119.7599076398728</v>
      </c>
      <c r="N6" s="2">
        <v>0.95022888180278398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45</v>
      </c>
      <c r="C7" s="27" t="s">
        <v>46</v>
      </c>
      <c r="D7" s="27">
        <f>c_S_quo</f>
        <v>12411</v>
      </c>
      <c r="E7" s="27">
        <f>u_S_quo</f>
        <v>0.77300000000000002</v>
      </c>
      <c r="G7" s="22">
        <f t="shared" si="4"/>
        <v>3</v>
      </c>
      <c r="H7" s="2">
        <f>H6*(1-p_HS)*(1-Life_table_HD!C59)</f>
        <v>0.73071871099586183</v>
      </c>
      <c r="I7" s="2">
        <f>I6*(1-Life_table_SD!B59)+H6*p_HS*(1-Life_table_HD!C59)</f>
        <v>0.25473456481126161</v>
      </c>
      <c r="J7" s="2">
        <f>J6+I6*Life_table_SD!B59+H6*Life_table_HD!C59</f>
        <v>1.4546724192876675E-2</v>
      </c>
      <c r="L7" s="23">
        <v>9368.2354150714182</v>
      </c>
      <c r="N7" s="2">
        <v>0.92762852959496711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45</v>
      </c>
      <c r="C8" s="27" t="s">
        <v>48</v>
      </c>
      <c r="D8" s="27">
        <f>c_D_quo</f>
        <v>0</v>
      </c>
      <c r="E8" s="27">
        <f>u_D_quo</f>
        <v>0</v>
      </c>
      <c r="G8" s="22">
        <f>G7+1</f>
        <v>4</v>
      </c>
      <c r="H8" s="2">
        <f>H7*(1-p_HS)*(1-Life_table_HD!C60)</f>
        <v>0.65764887407161055</v>
      </c>
      <c r="I8" s="2">
        <f>I7*(1-Life_table_SD!B60)+H7*p_HS*(1-Life_table_HD!C60)</f>
        <v>0.32159218942405876</v>
      </c>
      <c r="J8" s="2">
        <f>J7+I7*Life_table_SD!B60+H7*Life_table_HD!C60</f>
        <v>2.0758936504330774E-2</v>
      </c>
      <c r="L8" s="23">
        <v>9577.3501993062528</v>
      </c>
      <c r="N8" s="2">
        <v>0.90623963649640804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>
        <f>H8*(1-p_HS)*(1-Life_table_HD!C61)</f>
        <v>0.59161193863816997</v>
      </c>
      <c r="I9" s="2">
        <f>I8*(1-Life_table_SD!B61)+H8*p_HS*(1-Life_table_HD!C61)</f>
        <v>0.38064852325459553</v>
      </c>
      <c r="J9" s="2">
        <f>J8+I8*Life_table_SD!B61+H8*Life_table_HD!C61</f>
        <v>2.7739538107234573E-2</v>
      </c>
      <c r="L9" s="23">
        <v>9749.380628905401</v>
      </c>
      <c r="N9" s="2">
        <v>0.8858532471139724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>
        <f>H9*(1-p_HS)*(1-Life_table_HD!C62)</f>
        <v>0.53201106813948018</v>
      </c>
      <c r="I10" s="2">
        <f>I9*(1-Life_table_SD!B62)+H9*p_HS*(1-Life_table_HD!C62)</f>
        <v>0.43258900790116939</v>
      </c>
      <c r="J10" s="2">
        <f>J9+I9*Life_table_SD!B62+H9*Life_table_HD!C62</f>
        <v>3.539992395935055E-2</v>
      </c>
      <c r="L10" s="23">
        <v>9887.7641898381589</v>
      </c>
      <c r="N10" s="2">
        <v>0.86640237124708408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>
        <f>H10*(1-p_HS)*(1-Life_table_HD!C63)</f>
        <v>0.47817113582280524</v>
      </c>
      <c r="I11" s="2">
        <f>I10*(1-Life_table_SD!B63)+H10*p_HS*(1-Life_table_HD!C63)</f>
        <v>0.47794689525553308</v>
      </c>
      <c r="J11" s="2">
        <f>J10+I10*Life_table_SD!B63+H10*Life_table_HD!C63</f>
        <v>4.3881968921661824E-2</v>
      </c>
      <c r="L11" s="23">
        <v>9993.3845446953292</v>
      </c>
      <c r="N11" s="2">
        <v>0.84762408585533233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>
        <f>H11*(1-p_HS)*(1-Life_table_HD!C64)</f>
        <v>0.42956458210791532</v>
      </c>
      <c r="I12" s="2">
        <f>I11*(1-Life_table_SD!B64)+H11*p_HS*(1-Life_table_HD!C64)</f>
        <v>0.5172706126631349</v>
      </c>
      <c r="J12" s="2">
        <f>J11+I11*Life_table_SD!B64+H11*Life_table_HD!C64</f>
        <v>5.3164805228949952E-2</v>
      </c>
      <c r="L12" s="23">
        <v>10068.5671341868</v>
      </c>
      <c r="N12" s="2">
        <v>0.82941476569651862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>
        <f>H12*(1-p_HS)*(1-Life_table_HD!C65)</f>
        <v>0.38571236017258692</v>
      </c>
      <c r="I13" s="2">
        <f>I12*(1-Life_table_SD!B65)+H12*p_HS*(1-Life_table_HD!C65)</f>
        <v>0.5510779272159323</v>
      </c>
      <c r="J13" s="2">
        <f>J12+I12*Life_table_SD!B65+H12*Life_table_HD!C65</f>
        <v>6.3209712611481048E-2</v>
      </c>
      <c r="L13" s="23">
        <v>10115.668941982889</v>
      </c>
      <c r="N13" s="2">
        <v>0.81169559791050261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>
        <f>H13*(1-p_HS)*(1-Life_table_HD!C66)</f>
        <v>0.34616631276298859</v>
      </c>
      <c r="I14" s="2">
        <f>I13*(1-Life_table_SD!B66)+H13*p_HS*(1-Life_table_HD!C66)</f>
        <v>0.57982622953847029</v>
      </c>
      <c r="J14" s="2">
        <f>J13+I13*Life_table_SD!B66+H13*Life_table_HD!C66</f>
        <v>7.400745769854139E-2</v>
      </c>
      <c r="L14" s="23">
        <v>10136.55999541078</v>
      </c>
      <c r="N14" s="2">
        <v>0.79437198819622612</v>
      </c>
      <c r="P14" s="25">
        <f t="shared" si="0"/>
        <v>0.74409391489672516</v>
      </c>
      <c r="Q14" s="25">
        <f t="shared" si="1"/>
        <v>0.74409391489672516</v>
      </c>
      <c r="R14" s="25"/>
      <c r="S14" s="26">
        <f>1/3</f>
        <v>0.33333333333333331</v>
      </c>
      <c r="T14" s="25"/>
      <c r="U14" s="24">
        <f t="shared" si="2"/>
        <v>0.24803130496557504</v>
      </c>
      <c r="V14" s="24">
        <f t="shared" si="3"/>
        <v>0.24803130496557504</v>
      </c>
    </row>
    <row r="15" spans="1:25" x14ac:dyDescent="0.2">
      <c r="L15" s="23"/>
      <c r="P15" s="25"/>
      <c r="Q15" s="25"/>
      <c r="R15" s="25"/>
      <c r="S15" s="25"/>
      <c r="T15" s="25"/>
      <c r="U15" s="24"/>
      <c r="V15" s="24"/>
    </row>
    <row r="16" spans="1:25" x14ac:dyDescent="0.2">
      <c r="L16" s="23"/>
      <c r="P16" s="25"/>
      <c r="Q16" s="25"/>
      <c r="R16" s="25"/>
      <c r="S16" s="25"/>
      <c r="T16" s="25"/>
      <c r="U16" s="24"/>
      <c r="V16" s="24"/>
    </row>
    <row r="17" spans="12:22" x14ac:dyDescent="0.2">
      <c r="L17" s="23"/>
      <c r="P17" s="25"/>
      <c r="Q17" s="25"/>
      <c r="R17" s="25"/>
      <c r="S17" s="25"/>
      <c r="T17" s="25"/>
      <c r="U17" s="24"/>
      <c r="V17" s="24"/>
    </row>
    <row r="18" spans="12:22" x14ac:dyDescent="0.2">
      <c r="L18" s="23"/>
      <c r="P18" s="25"/>
      <c r="Q18" s="25"/>
      <c r="R18" s="25"/>
      <c r="S18" s="25"/>
      <c r="T18" s="25"/>
      <c r="U18" s="24"/>
      <c r="V18" s="24"/>
    </row>
    <row r="19" spans="12:22" x14ac:dyDescent="0.2">
      <c r="L19" s="23"/>
      <c r="P19" s="25"/>
      <c r="Q19" s="25"/>
      <c r="R19" s="25"/>
      <c r="S19" s="25"/>
      <c r="T19" s="25"/>
      <c r="U19" s="24"/>
      <c r="V19" s="24"/>
    </row>
    <row r="20" spans="12:22" x14ac:dyDescent="0.2">
      <c r="L20" s="23"/>
      <c r="P20" s="25"/>
      <c r="Q20" s="25"/>
      <c r="R20" s="25"/>
      <c r="S20" s="25"/>
      <c r="T20" s="25"/>
      <c r="U20" s="24"/>
      <c r="V20" s="24"/>
    </row>
    <row r="21" spans="12:22" x14ac:dyDescent="0.2">
      <c r="L21" s="23"/>
      <c r="P21" s="25"/>
      <c r="Q21" s="25"/>
      <c r="R21" s="25"/>
      <c r="S21" s="25"/>
      <c r="T21" s="25"/>
      <c r="U21" s="24"/>
      <c r="V21" s="24"/>
    </row>
    <row r="22" spans="12:22" x14ac:dyDescent="0.2">
      <c r="L22" s="23"/>
      <c r="P22" s="25"/>
      <c r="Q22" s="25"/>
      <c r="R22" s="25"/>
      <c r="S22" s="25"/>
      <c r="T22" s="25"/>
      <c r="U22" s="24"/>
      <c r="V22" s="24"/>
    </row>
    <row r="23" spans="12:22" x14ac:dyDescent="0.2">
      <c r="L23" s="23"/>
      <c r="P23" s="25"/>
      <c r="Q23" s="25"/>
      <c r="R23" s="25"/>
      <c r="S23" s="25"/>
      <c r="T23" s="25"/>
      <c r="U23" s="24"/>
      <c r="V23" s="24"/>
    </row>
    <row r="24" spans="12:22" x14ac:dyDescent="0.2">
      <c r="L24" s="23"/>
      <c r="P24" s="25"/>
      <c r="Q24" s="25"/>
      <c r="R24" s="25"/>
      <c r="S24" s="25"/>
      <c r="T24" s="25"/>
      <c r="U24" s="24"/>
      <c r="V24" s="24"/>
    </row>
    <row r="25" spans="12:22" x14ac:dyDescent="0.2">
      <c r="L25" s="23"/>
      <c r="P25" s="25"/>
      <c r="Q25" s="25"/>
      <c r="R25" s="25"/>
      <c r="S25" s="25"/>
      <c r="T25" s="25"/>
      <c r="U25" s="24"/>
      <c r="V25" s="24"/>
    </row>
    <row r="26" spans="12:22" x14ac:dyDescent="0.2">
      <c r="L26" s="23"/>
      <c r="P26" s="25"/>
      <c r="Q26" s="25"/>
      <c r="R26" s="25"/>
      <c r="S26" s="25"/>
      <c r="T26" s="25"/>
      <c r="U26" s="24"/>
      <c r="V26" s="24"/>
    </row>
    <row r="27" spans="12:22" x14ac:dyDescent="0.2">
      <c r="L27" s="23"/>
      <c r="P27" s="25"/>
      <c r="Q27" s="25"/>
      <c r="R27" s="25"/>
      <c r="S27" s="25"/>
      <c r="T27" s="25"/>
      <c r="U27" s="24"/>
      <c r="V27" s="24"/>
    </row>
    <row r="28" spans="12:22" x14ac:dyDescent="0.2">
      <c r="L28" s="23"/>
      <c r="P28" s="25"/>
      <c r="Q28" s="25"/>
      <c r="R28" s="25"/>
      <c r="S28" s="25"/>
      <c r="T28" s="25"/>
      <c r="U28" s="24"/>
      <c r="V28" s="24"/>
    </row>
    <row r="29" spans="12:22" x14ac:dyDescent="0.2">
      <c r="L29" s="23"/>
      <c r="P29" s="25"/>
      <c r="Q29" s="25"/>
      <c r="R29" s="25"/>
      <c r="S29" s="25"/>
      <c r="T29" s="25"/>
      <c r="U29" s="24"/>
      <c r="V29" s="24"/>
    </row>
    <row r="30" spans="12:22" x14ac:dyDescent="0.2">
      <c r="L30" s="23"/>
      <c r="P30" s="25"/>
      <c r="Q30" s="25"/>
      <c r="R30" s="25"/>
      <c r="S30" s="25"/>
      <c r="T30" s="25"/>
      <c r="U30" s="24"/>
      <c r="V30" s="24"/>
    </row>
    <row r="31" spans="12:22" x14ac:dyDescent="0.2">
      <c r="L31" s="23"/>
      <c r="P31" s="25"/>
      <c r="Q31" s="25"/>
      <c r="R31" s="25"/>
      <c r="S31" s="25"/>
      <c r="T31" s="25"/>
      <c r="U31" s="24"/>
      <c r="V31" s="24"/>
    </row>
    <row r="32" spans="12:22" x14ac:dyDescent="0.2">
      <c r="L32" s="23"/>
      <c r="P32" s="25"/>
      <c r="Q32" s="25"/>
      <c r="R32" s="25"/>
      <c r="S32" s="25"/>
      <c r="T32" s="25"/>
      <c r="U32" s="24"/>
      <c r="V32" s="24"/>
    </row>
    <row r="33" spans="12:22" x14ac:dyDescent="0.2">
      <c r="L33" s="23"/>
      <c r="P33" s="25"/>
      <c r="Q33" s="25"/>
      <c r="R33" s="25"/>
      <c r="S33" s="25"/>
      <c r="T33" s="25"/>
      <c r="U33" s="24"/>
      <c r="V33" s="24"/>
    </row>
    <row r="34" spans="12:22" x14ac:dyDescent="0.2">
      <c r="L34" s="23"/>
      <c r="P34" s="25"/>
      <c r="Q34" s="25"/>
      <c r="R34" s="25"/>
      <c r="S34" s="25"/>
      <c r="T34" s="25"/>
      <c r="U34" s="24"/>
      <c r="V34" s="24"/>
    </row>
    <row r="35" spans="12:22" x14ac:dyDescent="0.2">
      <c r="L35" s="23"/>
      <c r="P35" s="25"/>
      <c r="Q35" s="25"/>
      <c r="R35" s="25"/>
      <c r="S35" s="25"/>
      <c r="T35" s="25"/>
      <c r="U35" s="24"/>
      <c r="V35" s="24"/>
    </row>
    <row r="36" spans="12:22" x14ac:dyDescent="0.2">
      <c r="L36" s="23"/>
      <c r="P36" s="25"/>
      <c r="Q36" s="25"/>
      <c r="R36" s="25"/>
      <c r="S36" s="25"/>
      <c r="T36" s="25"/>
      <c r="U36" s="24"/>
      <c r="V36" s="24"/>
    </row>
    <row r="37" spans="12:22" x14ac:dyDescent="0.2">
      <c r="L37" s="23"/>
      <c r="P37" s="25"/>
      <c r="Q37" s="25"/>
      <c r="R37" s="25"/>
      <c r="S37" s="25"/>
      <c r="T37" s="25"/>
      <c r="U37" s="24"/>
      <c r="V37" s="24"/>
    </row>
    <row r="38" spans="12:22" x14ac:dyDescent="0.2">
      <c r="L38" s="23"/>
      <c r="P38" s="25"/>
      <c r="Q38" s="25"/>
      <c r="R38" s="25"/>
      <c r="S38" s="25"/>
      <c r="T38" s="25"/>
      <c r="U38" s="24"/>
      <c r="V38" s="24"/>
    </row>
    <row r="39" spans="12:22" x14ac:dyDescent="0.2">
      <c r="L39" s="23"/>
      <c r="P39" s="25"/>
      <c r="Q39" s="25"/>
      <c r="R39" s="25"/>
      <c r="S39" s="25"/>
      <c r="T39" s="25"/>
      <c r="U39" s="24"/>
      <c r="V39" s="24"/>
    </row>
    <row r="40" spans="12:22" x14ac:dyDescent="0.2">
      <c r="L40" s="23"/>
      <c r="P40" s="25"/>
      <c r="Q40" s="25"/>
      <c r="R40" s="25"/>
      <c r="S40" s="25"/>
      <c r="T40" s="25"/>
      <c r="U40" s="24"/>
      <c r="V40" s="24"/>
    </row>
    <row r="41" spans="12:22" x14ac:dyDescent="0.2">
      <c r="L41" s="23"/>
      <c r="P41" s="25"/>
      <c r="Q41" s="25"/>
      <c r="R41" s="25"/>
      <c r="S41" s="25"/>
      <c r="T41" s="25"/>
      <c r="U41" s="24"/>
      <c r="V41" s="24"/>
    </row>
    <row r="42" spans="12:22" x14ac:dyDescent="0.2">
      <c r="L42" s="23"/>
      <c r="P42" s="25"/>
      <c r="Q42" s="25"/>
      <c r="R42" s="25"/>
      <c r="S42" s="25"/>
      <c r="T42" s="25"/>
      <c r="U42" s="24"/>
      <c r="V42" s="24"/>
    </row>
    <row r="43" spans="12:22" x14ac:dyDescent="0.2">
      <c r="L43" s="23"/>
      <c r="P43" s="25"/>
      <c r="Q43" s="25"/>
      <c r="R43" s="25"/>
      <c r="S43" s="25"/>
      <c r="T43" s="25"/>
      <c r="U43" s="24"/>
      <c r="V43" s="24"/>
    </row>
    <row r="44" spans="12:22" x14ac:dyDescent="0.2">
      <c r="L44" s="23"/>
      <c r="P44" s="25"/>
      <c r="Q44" s="25"/>
      <c r="R44" s="25"/>
      <c r="S44" s="25"/>
      <c r="T44" s="25"/>
      <c r="U44" s="24"/>
      <c r="V44" s="24"/>
    </row>
    <row r="45" spans="12:22" x14ac:dyDescent="0.2">
      <c r="L45" s="23"/>
      <c r="P45" s="25"/>
      <c r="Q45" s="25"/>
      <c r="R45" s="25"/>
      <c r="S45" s="25"/>
      <c r="T45" s="25"/>
      <c r="U45" s="24"/>
      <c r="V45" s="24"/>
    </row>
    <row r="46" spans="12:22" x14ac:dyDescent="0.2">
      <c r="L46" s="23"/>
      <c r="P46" s="25"/>
      <c r="Q46" s="25"/>
      <c r="R46" s="25"/>
      <c r="S46" s="25"/>
      <c r="T46" s="25"/>
      <c r="U46" s="24"/>
      <c r="V46" s="24"/>
    </row>
    <row r="47" spans="12:22" x14ac:dyDescent="0.2">
      <c r="L47" s="23"/>
      <c r="P47" s="25"/>
      <c r="Q47" s="25"/>
      <c r="R47" s="25"/>
      <c r="S47" s="25"/>
      <c r="T47" s="25"/>
      <c r="U47" s="24"/>
      <c r="V47" s="24"/>
    </row>
    <row r="48" spans="12:22" x14ac:dyDescent="0.2">
      <c r="L48" s="23"/>
      <c r="P48" s="25"/>
      <c r="Q48" s="25"/>
      <c r="R48" s="25"/>
      <c r="S48" s="25"/>
      <c r="T48" s="25"/>
      <c r="U48" s="24"/>
      <c r="V48" s="24"/>
    </row>
    <row r="49" spans="12:22" x14ac:dyDescent="0.2">
      <c r="L49" s="23"/>
      <c r="P49" s="25"/>
      <c r="Q49" s="25"/>
      <c r="R49" s="25"/>
      <c r="S49" s="25"/>
      <c r="T49" s="25"/>
      <c r="U49" s="24"/>
      <c r="V49" s="24"/>
    </row>
    <row r="50" spans="12:22" x14ac:dyDescent="0.2">
      <c r="L50" s="23"/>
      <c r="P50" s="25"/>
      <c r="Q50" s="25"/>
      <c r="R50" s="25"/>
      <c r="S50" s="25"/>
      <c r="T50" s="25"/>
      <c r="U50" s="24"/>
      <c r="V50" s="24"/>
    </row>
    <row r="51" spans="12:22" x14ac:dyDescent="0.2">
      <c r="L51" s="23"/>
      <c r="P51" s="25"/>
      <c r="Q51" s="25"/>
      <c r="R51" s="25"/>
      <c r="S51" s="25"/>
      <c r="T51" s="25"/>
      <c r="U51" s="24"/>
      <c r="V51" s="24"/>
    </row>
    <row r="52" spans="12:22" x14ac:dyDescent="0.2">
      <c r="L52" s="23"/>
      <c r="P52" s="25"/>
      <c r="Q52" s="25"/>
      <c r="R52" s="25"/>
      <c r="S52" s="25"/>
      <c r="T52" s="25"/>
      <c r="U52" s="24"/>
      <c r="V52" s="24"/>
    </row>
    <row r="53" spans="12:22" x14ac:dyDescent="0.2">
      <c r="L53" s="23"/>
      <c r="P53" s="25"/>
      <c r="Q53" s="25"/>
      <c r="R53" s="25"/>
      <c r="S53" s="25"/>
      <c r="T53" s="25"/>
      <c r="U53" s="24"/>
      <c r="V53" s="24"/>
    </row>
    <row r="54" spans="12:22" x14ac:dyDescent="0.2">
      <c r="L54" s="23"/>
      <c r="P54" s="25"/>
      <c r="Q54" s="25"/>
      <c r="R54" s="25"/>
      <c r="S54" s="25"/>
      <c r="T54" s="25"/>
      <c r="U54" s="24"/>
      <c r="V54" s="24"/>
    </row>
    <row r="55" spans="12:22" x14ac:dyDescent="0.2">
      <c r="L55" s="23"/>
      <c r="P55" s="25"/>
      <c r="Q55" s="25"/>
      <c r="R55" s="25"/>
      <c r="S55" s="25"/>
      <c r="T55" s="25"/>
      <c r="U55" s="24"/>
      <c r="V55" s="24"/>
    </row>
    <row r="56" spans="12:22" x14ac:dyDescent="0.2">
      <c r="L56" s="23"/>
      <c r="P56" s="25"/>
      <c r="Q56" s="25"/>
      <c r="R56" s="25"/>
      <c r="S56" s="25"/>
      <c r="T56" s="25"/>
      <c r="U56" s="24"/>
      <c r="V56" s="24"/>
    </row>
    <row r="57" spans="12:22" x14ac:dyDescent="0.2">
      <c r="L57" s="23"/>
      <c r="P57" s="25"/>
      <c r="Q57" s="25"/>
      <c r="R57" s="25"/>
      <c r="S57" s="25"/>
      <c r="T57" s="25"/>
      <c r="U57" s="24"/>
      <c r="V57" s="24"/>
    </row>
    <row r="58" spans="12:22" x14ac:dyDescent="0.2">
      <c r="L58" s="23"/>
      <c r="P58" s="25"/>
      <c r="Q58" s="25"/>
      <c r="R58" s="25"/>
      <c r="S58" s="25"/>
      <c r="T58" s="25"/>
      <c r="U58" s="24"/>
      <c r="V58" s="24"/>
    </row>
    <row r="59" spans="12:22" x14ac:dyDescent="0.2">
      <c r="L59" s="23"/>
      <c r="P59" s="25"/>
      <c r="Q59" s="25"/>
      <c r="R59" s="25"/>
      <c r="S59" s="25"/>
      <c r="T59" s="25"/>
      <c r="U59" s="24"/>
      <c r="V59" s="24"/>
    </row>
    <row r="60" spans="12:22" x14ac:dyDescent="0.2">
      <c r="L60" s="23"/>
      <c r="P60" s="25"/>
      <c r="Q60" s="25"/>
      <c r="R60" s="25"/>
      <c r="S60" s="25"/>
      <c r="T60" s="25"/>
      <c r="U60" s="24"/>
      <c r="V60" s="24"/>
    </row>
    <row r="61" spans="12:22" x14ac:dyDescent="0.2">
      <c r="L61" s="23"/>
      <c r="P61" s="25"/>
      <c r="Q61" s="25"/>
      <c r="R61" s="25"/>
      <c r="S61" s="25"/>
      <c r="T61" s="25"/>
      <c r="U61" s="24"/>
      <c r="V61" s="24"/>
    </row>
    <row r="62" spans="12:22" x14ac:dyDescent="0.2">
      <c r="L62" s="23"/>
      <c r="P62" s="25"/>
      <c r="Q62" s="25"/>
      <c r="R62" s="25"/>
      <c r="S62" s="25"/>
      <c r="T62" s="25"/>
      <c r="U62" s="24"/>
      <c r="V62" s="24"/>
    </row>
    <row r="63" spans="12:22" x14ac:dyDescent="0.2">
      <c r="L63" s="23"/>
      <c r="P63" s="25"/>
      <c r="Q63" s="25"/>
      <c r="R63" s="25"/>
      <c r="S63" s="25"/>
      <c r="T63" s="25"/>
      <c r="U63" s="24"/>
      <c r="V63" s="24"/>
    </row>
    <row r="64" spans="12:22" x14ac:dyDescent="0.2">
      <c r="L64" s="23"/>
      <c r="P64" s="25"/>
      <c r="Q64" s="25"/>
      <c r="R64" s="25"/>
      <c r="S64" s="25"/>
      <c r="T64" s="25"/>
      <c r="U64" s="24"/>
      <c r="V64" s="24"/>
    </row>
    <row r="65" spans="12:22" x14ac:dyDescent="0.2">
      <c r="L65" s="23"/>
      <c r="P65" s="25"/>
      <c r="Q65" s="25"/>
      <c r="R65" s="25"/>
      <c r="S65" s="25"/>
      <c r="T65" s="25"/>
      <c r="U65" s="24"/>
      <c r="V65" s="24"/>
    </row>
    <row r="66" spans="12:22" x14ac:dyDescent="0.2">
      <c r="L66" s="23"/>
      <c r="P66" s="25"/>
      <c r="Q66" s="25"/>
      <c r="R66" s="25"/>
      <c r="S66" s="25"/>
      <c r="T66" s="25"/>
      <c r="U66" s="24"/>
      <c r="V66" s="24"/>
    </row>
    <row r="67" spans="12:22" x14ac:dyDescent="0.2">
      <c r="L67" s="23"/>
      <c r="P67" s="25"/>
      <c r="Q67" s="25"/>
      <c r="R67" s="25"/>
      <c r="S67" s="25"/>
      <c r="T67" s="25"/>
      <c r="U67" s="24"/>
      <c r="V67" s="24"/>
    </row>
    <row r="68" spans="12:22" x14ac:dyDescent="0.2">
      <c r="L68" s="23"/>
      <c r="P68" s="25"/>
      <c r="Q68" s="25"/>
      <c r="R68" s="25"/>
      <c r="S68" s="25"/>
      <c r="T68" s="25"/>
      <c r="U68" s="24"/>
      <c r="V68" s="24"/>
    </row>
    <row r="69" spans="12:22" x14ac:dyDescent="0.2">
      <c r="L69" s="23"/>
      <c r="P69" s="25"/>
      <c r="Q69" s="25"/>
      <c r="R69" s="25"/>
      <c r="S69" s="25"/>
      <c r="T69" s="25"/>
      <c r="U69" s="24"/>
      <c r="V69" s="24"/>
    </row>
    <row r="70" spans="12:22" x14ac:dyDescent="0.2">
      <c r="L70" s="23"/>
      <c r="P70" s="25"/>
      <c r="Q70" s="25"/>
      <c r="R70" s="25"/>
      <c r="S70" s="25"/>
      <c r="T70" s="25"/>
      <c r="U70" s="24"/>
      <c r="V70" s="24"/>
    </row>
    <row r="71" spans="12:22" x14ac:dyDescent="0.2">
      <c r="L71" s="23"/>
      <c r="P71" s="25"/>
      <c r="Q71" s="25"/>
      <c r="R71" s="25"/>
      <c r="S71" s="25"/>
      <c r="T71" s="25"/>
      <c r="U71" s="24"/>
      <c r="V71" s="24"/>
    </row>
    <row r="72" spans="12:22" x14ac:dyDescent="0.2">
      <c r="L72" s="23"/>
      <c r="P72" s="25"/>
      <c r="Q72" s="25"/>
      <c r="R72" s="25"/>
      <c r="S72" s="25"/>
      <c r="T72" s="25"/>
      <c r="U72" s="24"/>
      <c r="V72" s="24"/>
    </row>
    <row r="73" spans="12:22" x14ac:dyDescent="0.2">
      <c r="L73" s="23"/>
      <c r="P73" s="25"/>
      <c r="Q73" s="25"/>
      <c r="R73" s="25"/>
      <c r="S73" s="25"/>
      <c r="T73" s="25"/>
      <c r="U73" s="24"/>
      <c r="V73" s="24"/>
    </row>
    <row r="74" spans="12:22" x14ac:dyDescent="0.2">
      <c r="L74" s="23"/>
      <c r="P74" s="25"/>
      <c r="Q74" s="25"/>
      <c r="R74" s="25"/>
      <c r="S74" s="25"/>
      <c r="T74" s="25"/>
      <c r="U74" s="24"/>
      <c r="V74" s="24"/>
    </row>
    <row r="75" spans="12:22" x14ac:dyDescent="0.2">
      <c r="L75" s="23"/>
      <c r="P75" s="25"/>
      <c r="Q75" s="25"/>
      <c r="R75" s="25"/>
      <c r="S75" s="25"/>
      <c r="T75" s="25"/>
      <c r="U75" s="24"/>
      <c r="V75" s="24"/>
    </row>
    <row r="76" spans="12:22" x14ac:dyDescent="0.2">
      <c r="L76" s="23"/>
      <c r="P76" s="25"/>
      <c r="Q76" s="25"/>
      <c r="R76" s="25"/>
      <c r="S76" s="25"/>
      <c r="T76" s="25"/>
      <c r="U76" s="24"/>
      <c r="V76" s="24"/>
    </row>
    <row r="77" spans="12:22" x14ac:dyDescent="0.2">
      <c r="L77" s="23"/>
      <c r="P77" s="25"/>
      <c r="Q77" s="25"/>
      <c r="R77" s="25"/>
      <c r="S77" s="25"/>
      <c r="T77" s="25"/>
      <c r="U77" s="24"/>
      <c r="V77" s="24"/>
    </row>
    <row r="78" spans="12:22" x14ac:dyDescent="0.2">
      <c r="L78" s="23"/>
      <c r="P78" s="25"/>
      <c r="Q78" s="25"/>
      <c r="R78" s="25"/>
      <c r="S78" s="25"/>
      <c r="T78" s="25"/>
      <c r="U78" s="24"/>
      <c r="V78" s="24"/>
    </row>
    <row r="79" spans="12:22" x14ac:dyDescent="0.2">
      <c r="L79" s="23"/>
      <c r="P79" s="25"/>
      <c r="Q79" s="25"/>
      <c r="R79" s="25"/>
      <c r="S79" s="26"/>
      <c r="T79" s="26"/>
      <c r="U79" s="24"/>
      <c r="V79" s="24"/>
    </row>
  </sheetData>
  <mergeCells count="2">
    <mergeCell ref="G1:J1"/>
    <mergeCell ref="P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4A6C-C3DC-7C4B-B009-9B9976F1CB3F}">
  <dimension ref="A1:Y79"/>
  <sheetViews>
    <sheetView topLeftCell="C1" zoomScale="110" zoomScaleNormal="110" workbookViewId="0">
      <selection activeCell="S14" sqref="S14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72" t="s">
        <v>50</v>
      </c>
      <c r="H1" s="72"/>
      <c r="I1" s="72"/>
      <c r="J1" s="72"/>
      <c r="K1" s="12"/>
      <c r="L1" s="13" t="s">
        <v>51</v>
      </c>
      <c r="M1" s="14"/>
      <c r="N1" s="13" t="s">
        <v>52</v>
      </c>
      <c r="O1" s="15"/>
      <c r="P1" s="72" t="s">
        <v>53</v>
      </c>
      <c r="Q1" s="72"/>
      <c r="R1" s="12"/>
      <c r="S1" s="13" t="s">
        <v>54</v>
      </c>
      <c r="T1" s="15"/>
      <c r="U1" s="13" t="s">
        <v>55</v>
      </c>
      <c r="V1" s="13" t="s">
        <v>56</v>
      </c>
      <c r="W1" s="14"/>
    </row>
    <row r="2" spans="1:25" x14ac:dyDescent="0.2">
      <c r="G2" s="16"/>
      <c r="H2" s="16"/>
      <c r="I2" s="16"/>
      <c r="J2" s="16"/>
      <c r="K2" s="16"/>
      <c r="X2" s="11" t="s">
        <v>57</v>
      </c>
      <c r="Y2" s="2" cm="1">
        <f t="array" ref="Y2">MMULT(TRANSPOSE(w_c_trt),tot_cost_trt)</f>
        <v>78226.907262671579</v>
      </c>
    </row>
    <row r="3" spans="1:25" ht="17" thickBot="1" x14ac:dyDescent="0.25">
      <c r="G3" s="18" t="s">
        <v>60</v>
      </c>
      <c r="H3" s="17" t="s">
        <v>44</v>
      </c>
      <c r="I3" s="17" t="s">
        <v>46</v>
      </c>
      <c r="J3" s="17" t="s">
        <v>48</v>
      </c>
      <c r="K3" s="11"/>
      <c r="L3" s="17" t="s">
        <v>151</v>
      </c>
      <c r="N3" s="17" t="s">
        <v>156</v>
      </c>
      <c r="P3" s="17" t="s">
        <v>107</v>
      </c>
      <c r="Q3" s="17" t="s">
        <v>108</v>
      </c>
      <c r="R3" s="11"/>
      <c r="S3" s="17" t="s">
        <v>109</v>
      </c>
      <c r="T3" s="11"/>
      <c r="U3" s="64" t="s">
        <v>157</v>
      </c>
      <c r="V3" s="64" t="s">
        <v>158</v>
      </c>
      <c r="X3" s="11" t="s">
        <v>61</v>
      </c>
      <c r="Y3" s="2" cm="1">
        <f t="array" ref="Y3">MMULT(TRANSPOSE(w_e_trt),tot_qaly_trt)</f>
        <v>7.4992124007031995</v>
      </c>
    </row>
    <row r="4" spans="1:25" x14ac:dyDescent="0.2">
      <c r="A4" s="11" t="s">
        <v>62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14">MMULT(H4:J14,D6:D8)</f>
        <v>9334</v>
      </c>
      <c r="N4" s="2" cm="1">
        <f t="array" ref="N4:N14">MMULT(H4:J14,E6:E8)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58</v>
      </c>
      <c r="C5" s="17" t="s">
        <v>59</v>
      </c>
      <c r="D5" s="17" t="s">
        <v>63</v>
      </c>
      <c r="E5" s="17" t="s">
        <v>64</v>
      </c>
      <c r="G5" s="22">
        <f>G4+1</f>
        <v>1</v>
      </c>
      <c r="H5" s="2">
        <f>H4*(1-p_HS_trt)*(1-Life_table_HD!C57)</f>
        <v>0.94721891307656958</v>
      </c>
      <c r="I5" s="2">
        <f>I4*(1-Life_table_SD!B57)+H4*p_HS_trt*(1-Life_table_HD!C57)</f>
        <v>4.8564952181541533E-2</v>
      </c>
      <c r="J5" s="2">
        <f>J4+I4*Life_table_SD!B57+H4*Life_table_HD!C57</f>
        <v>4.2161347418889199E-3</v>
      </c>
      <c r="L5" s="23">
        <v>9444.0809561818132</v>
      </c>
      <c r="N5" s="2">
        <v>0.98475962111290116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49</v>
      </c>
      <c r="C6" s="19" t="s">
        <v>44</v>
      </c>
      <c r="D6" s="19">
        <f>c_H_trt</f>
        <v>9334</v>
      </c>
      <c r="E6" s="19">
        <f>u_H_trt</f>
        <v>1</v>
      </c>
      <c r="G6" s="22">
        <f t="shared" ref="G6:G7" si="4">G5+1</f>
        <v>2</v>
      </c>
      <c r="H6" s="2">
        <f>H5*(1-p_HS_trt)*(1-Life_table_HD!C58)</f>
        <v>0.89691932608992186</v>
      </c>
      <c r="I6" s="2">
        <f>I5*(1-Life_table_SD!B58)+H5*p_HS_trt*(1-Life_table_HD!C58)</f>
        <v>9.4175857634707455E-2</v>
      </c>
      <c r="J6" s="2">
        <f>J5+I5*Life_table_SD!B58+H5*Life_table_HD!C58</f>
        <v>8.9048162753707222E-3</v>
      </c>
      <c r="L6" s="23">
        <v>9540.6615588276854</v>
      </c>
      <c r="N6" s="2">
        <v>0.96971726404155079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49</v>
      </c>
      <c r="C7" s="27" t="s">
        <v>46</v>
      </c>
      <c r="D7" s="27">
        <f>c_S_trt</f>
        <v>12411</v>
      </c>
      <c r="E7" s="27">
        <f>u_S_trt</f>
        <v>0.77300000000000002</v>
      </c>
      <c r="G7" s="22">
        <f t="shared" si="4"/>
        <v>3</v>
      </c>
      <c r="H7" s="2">
        <f>H6*(1-p_HS_trt)*(1-Life_table_HD!C59)</f>
        <v>0.84897402023726432</v>
      </c>
      <c r="I7" s="2">
        <f>I6*(1-Life_table_SD!B59)+H6*p_HS_trt*(1-Life_table_HD!C59)</f>
        <v>0.13691705395612949</v>
      </c>
      <c r="J7" s="2">
        <f>J6+I6*Life_table_SD!B59+H6*Life_table_HD!C59</f>
        <v>1.4108925806606155E-2</v>
      </c>
      <c r="L7" s="23">
        <v>9623.6010615441483</v>
      </c>
      <c r="N7" s="2">
        <v>0.95481090294535242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49</v>
      </c>
      <c r="C8" s="27" t="s">
        <v>48</v>
      </c>
      <c r="D8" s="27">
        <f>c_D_trt</f>
        <v>0</v>
      </c>
      <c r="E8" s="27">
        <f>u_D_trt</f>
        <v>0</v>
      </c>
      <c r="G8" s="22">
        <f>G7+1</f>
        <v>4</v>
      </c>
      <c r="H8" s="2">
        <f>H7*(1-p_HS_trt)*(1-Life_table_HD!C60)</f>
        <v>0.80325414869199541</v>
      </c>
      <c r="I8" s="2">
        <f>I7*(1-Life_table_SD!B60)+H7*p_HS_trt*(1-Life_table_HD!C60)</f>
        <v>0.1768602976724378</v>
      </c>
      <c r="J8" s="2">
        <f>J7+I7*Life_table_SD!B60+H7*Life_table_HD!C60</f>
        <v>1.9885553635566731E-2</v>
      </c>
      <c r="L8" s="23">
        <v>9692.5873783037114</v>
      </c>
      <c r="N8" s="2">
        <v>0.9399671587927898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>
        <f>H8*(1-p_HS_trt)*(1-Life_table_HD!C61)</f>
        <v>0.7596447660273189</v>
      </c>
      <c r="I9" s="2">
        <f>I8*(1-Life_table_SD!B61)+H8*p_HS_trt*(1-Life_table_HD!C61)</f>
        <v>0.2140680489671169</v>
      </c>
      <c r="J9" s="2">
        <f>J8+I8*Life_table_SD!B61+H8*Life_table_HD!C61</f>
        <v>2.628718500556412E-2</v>
      </c>
      <c r="L9" s="23">
        <v>9747.3228018298832</v>
      </c>
      <c r="N9" s="2">
        <v>0.92511936787890026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>
        <f>H9*(1-p_HS_trt)*(1-Life_table_HD!C62)</f>
        <v>0.71813982605599458</v>
      </c>
      <c r="I10" s="2">
        <f>I9*(1-Life_table_SD!B62)+H9*p_HS_trt*(1-Life_table_HD!C62)</f>
        <v>0.24863182844737919</v>
      </c>
      <c r="J10" s="2">
        <f>J9+I9*Life_table_SD!B62+H9*Life_table_HD!C62</f>
        <v>3.3228345496626101E-2</v>
      </c>
      <c r="L10" s="23">
        <v>9788.8867592670758</v>
      </c>
      <c r="N10" s="2">
        <v>0.91033222944581871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>
        <f>H10*(1-p_HS_trt)*(1-Life_table_HD!C63)</f>
        <v>0.67855714152012192</v>
      </c>
      <c r="I11" s="2">
        <f>I10*(1-Life_table_SD!B63)+H10*p_HS_trt*(1-Life_table_HD!C63)</f>
        <v>0.28058762447382812</v>
      </c>
      <c r="J11" s="2">
        <f>J10+I10*Life_table_SD!B63+H10*Life_table_HD!C63</f>
        <v>4.0855234006049936E-2</v>
      </c>
      <c r="L11" s="23">
        <v>9816.0253662934992</v>
      </c>
      <c r="N11" s="2">
        <v>0.89545137523839102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>
        <f>H11*(1-p_HS_trt)*(1-Life_table_HD!C64)</f>
        <v>0.64083505282053965</v>
      </c>
      <c r="I12" s="2">
        <f>I11*(1-Life_table_SD!B64)+H11*p_HS_trt*(1-Life_table_HD!C64)</f>
        <v>0.31000724987833239</v>
      </c>
      <c r="J12" s="2">
        <f>J11+I11*Life_table_SD!B64+H11*Life_table_HD!C64</f>
        <v>4.9157697301127908E-2</v>
      </c>
      <c r="L12" s="23">
        <v>9829.0543612669007</v>
      </c>
      <c r="N12" s="2">
        <v>0.88047065697649063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>
        <f>H12*(1-p_HS_trt)*(1-Life_table_HD!C65)</f>
        <v>0.60491739455284121</v>
      </c>
      <c r="I13" s="2">
        <f>I12*(1-Life_table_SD!B65)+H12*p_HS_trt*(1-Life_table_HD!C65)</f>
        <v>0.33697162262311986</v>
      </c>
      <c r="J13" s="2">
        <f>J12+I12*Life_table_SD!B65+H12*Life_table_HD!C65</f>
        <v>5.8110982824038912E-2</v>
      </c>
      <c r="L13" s="23">
        <v>9828.4537691317601</v>
      </c>
      <c r="N13" s="2">
        <v>0.86539645884051286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>
        <f>H13*(1-p_HS_trt)*(1-Life_table_HD!C66)</f>
        <v>0.57073176305217288</v>
      </c>
      <c r="I14" s="2">
        <f>I13*(1-Life_table_SD!B66)+H13*p_HS_trt*(1-Life_table_HD!C66)</f>
        <v>0.36155077326450807</v>
      </c>
      <c r="J14" s="2">
        <f>J13+I13*Life_table_SD!B66+H13*Life_table_HD!C66</f>
        <v>6.7717463683319046E-2</v>
      </c>
      <c r="L14" s="23">
        <v>9814.4169233147913</v>
      </c>
      <c r="N14" s="2">
        <v>0.8502105107856377</v>
      </c>
      <c r="P14" s="25">
        <f t="shared" si="0"/>
        <v>0.74409391489672516</v>
      </c>
      <c r="Q14" s="25">
        <f t="shared" si="1"/>
        <v>0.74409391489672516</v>
      </c>
      <c r="R14" s="25"/>
      <c r="S14" s="26">
        <f>1/3</f>
        <v>0.33333333333333331</v>
      </c>
      <c r="T14" s="25"/>
      <c r="U14" s="24">
        <f t="shared" si="2"/>
        <v>0.24803130496557504</v>
      </c>
      <c r="V14" s="24">
        <f t="shared" si="3"/>
        <v>0.24803130496557504</v>
      </c>
    </row>
    <row r="15" spans="1:25" x14ac:dyDescent="0.2">
      <c r="L15" s="23"/>
      <c r="P15" s="25"/>
      <c r="Q15" s="25"/>
      <c r="R15" s="25"/>
      <c r="S15" s="25"/>
      <c r="T15" s="25"/>
      <c r="U15" s="24"/>
      <c r="V15" s="24"/>
    </row>
    <row r="16" spans="1:25" x14ac:dyDescent="0.2">
      <c r="L16" s="23"/>
      <c r="P16" s="25"/>
      <c r="Q16" s="25"/>
      <c r="R16" s="25"/>
      <c r="S16" s="25"/>
      <c r="T16" s="25"/>
      <c r="U16" s="24"/>
      <c r="V16" s="24"/>
    </row>
    <row r="17" spans="12:22" x14ac:dyDescent="0.2">
      <c r="L17" s="23"/>
      <c r="P17" s="25"/>
      <c r="Q17" s="25"/>
      <c r="R17" s="25"/>
      <c r="S17" s="25"/>
      <c r="T17" s="25"/>
      <c r="U17" s="24"/>
      <c r="V17" s="24"/>
    </row>
    <row r="18" spans="12:22" x14ac:dyDescent="0.2">
      <c r="L18" s="23"/>
      <c r="P18" s="25"/>
      <c r="Q18" s="25"/>
      <c r="R18" s="25"/>
      <c r="S18" s="25"/>
      <c r="T18" s="25"/>
      <c r="U18" s="24"/>
      <c r="V18" s="24"/>
    </row>
    <row r="19" spans="12:22" x14ac:dyDescent="0.2">
      <c r="L19" s="23"/>
      <c r="P19" s="25"/>
      <c r="Q19" s="25"/>
      <c r="R19" s="25"/>
      <c r="S19" s="25"/>
      <c r="T19" s="25"/>
      <c r="U19" s="24"/>
      <c r="V19" s="24"/>
    </row>
    <row r="20" spans="12:22" x14ac:dyDescent="0.2">
      <c r="L20" s="23"/>
      <c r="P20" s="25"/>
      <c r="Q20" s="25"/>
      <c r="R20" s="25"/>
      <c r="S20" s="25"/>
      <c r="T20" s="25"/>
      <c r="U20" s="24"/>
      <c r="V20" s="24"/>
    </row>
    <row r="21" spans="12:22" x14ac:dyDescent="0.2">
      <c r="L21" s="23"/>
      <c r="P21" s="25"/>
      <c r="Q21" s="25"/>
      <c r="R21" s="25"/>
      <c r="S21" s="25"/>
      <c r="T21" s="25"/>
      <c r="U21" s="24"/>
      <c r="V21" s="24"/>
    </row>
    <row r="22" spans="12:22" x14ac:dyDescent="0.2">
      <c r="L22" s="23"/>
      <c r="P22" s="25"/>
      <c r="Q22" s="25"/>
      <c r="R22" s="25"/>
      <c r="S22" s="25"/>
      <c r="T22" s="25"/>
      <c r="U22" s="24"/>
      <c r="V22" s="24"/>
    </row>
    <row r="23" spans="12:22" x14ac:dyDescent="0.2">
      <c r="L23" s="23"/>
      <c r="P23" s="25"/>
      <c r="Q23" s="25"/>
      <c r="R23" s="25"/>
      <c r="S23" s="25"/>
      <c r="T23" s="25"/>
      <c r="U23" s="24"/>
      <c r="V23" s="24"/>
    </row>
    <row r="24" spans="12:22" x14ac:dyDescent="0.2">
      <c r="L24" s="23"/>
      <c r="P24" s="25"/>
      <c r="Q24" s="25"/>
      <c r="R24" s="25"/>
      <c r="S24" s="25"/>
      <c r="T24" s="25"/>
      <c r="U24" s="24"/>
      <c r="V24" s="24"/>
    </row>
    <row r="25" spans="12:22" x14ac:dyDescent="0.2">
      <c r="L25" s="23"/>
      <c r="P25" s="25"/>
      <c r="Q25" s="25"/>
      <c r="R25" s="25"/>
      <c r="S25" s="25"/>
      <c r="T25" s="25"/>
      <c r="U25" s="24"/>
      <c r="V25" s="24"/>
    </row>
    <row r="26" spans="12:22" x14ac:dyDescent="0.2">
      <c r="L26" s="23"/>
      <c r="P26" s="25"/>
      <c r="Q26" s="25"/>
      <c r="R26" s="25"/>
      <c r="S26" s="25"/>
      <c r="T26" s="25"/>
      <c r="U26" s="24"/>
      <c r="V26" s="24"/>
    </row>
    <row r="27" spans="12:22" x14ac:dyDescent="0.2">
      <c r="L27" s="23"/>
      <c r="P27" s="25"/>
      <c r="Q27" s="25"/>
      <c r="R27" s="25"/>
      <c r="S27" s="25"/>
      <c r="T27" s="25"/>
      <c r="U27" s="24"/>
      <c r="V27" s="24"/>
    </row>
    <row r="28" spans="12:22" x14ac:dyDescent="0.2">
      <c r="L28" s="23"/>
      <c r="P28" s="25"/>
      <c r="Q28" s="25"/>
      <c r="R28" s="25"/>
      <c r="S28" s="25"/>
      <c r="T28" s="25"/>
      <c r="U28" s="24"/>
      <c r="V28" s="24"/>
    </row>
    <row r="29" spans="12:22" x14ac:dyDescent="0.2">
      <c r="L29" s="23"/>
      <c r="P29" s="25"/>
      <c r="Q29" s="25"/>
      <c r="R29" s="25"/>
      <c r="S29" s="25"/>
      <c r="T29" s="25"/>
      <c r="U29" s="24"/>
      <c r="V29" s="24"/>
    </row>
    <row r="30" spans="12:22" x14ac:dyDescent="0.2">
      <c r="L30" s="23"/>
      <c r="P30" s="25"/>
      <c r="Q30" s="25"/>
      <c r="R30" s="25"/>
      <c r="S30" s="25"/>
      <c r="T30" s="25"/>
      <c r="U30" s="24"/>
      <c r="V30" s="24"/>
    </row>
    <row r="31" spans="12:22" x14ac:dyDescent="0.2">
      <c r="L31" s="23"/>
      <c r="P31" s="25"/>
      <c r="Q31" s="25"/>
      <c r="R31" s="25"/>
      <c r="S31" s="25"/>
      <c r="T31" s="25"/>
      <c r="U31" s="24"/>
      <c r="V31" s="24"/>
    </row>
    <row r="32" spans="12:22" x14ac:dyDescent="0.2">
      <c r="L32" s="23"/>
      <c r="P32" s="25"/>
      <c r="Q32" s="25"/>
      <c r="R32" s="25"/>
      <c r="S32" s="25"/>
      <c r="T32" s="25"/>
      <c r="U32" s="24"/>
      <c r="V32" s="24"/>
    </row>
    <row r="33" spans="12:22" x14ac:dyDescent="0.2">
      <c r="L33" s="23"/>
      <c r="P33" s="25"/>
      <c r="Q33" s="25"/>
      <c r="R33" s="25"/>
      <c r="S33" s="25"/>
      <c r="T33" s="25"/>
      <c r="U33" s="24"/>
      <c r="V33" s="24"/>
    </row>
    <row r="34" spans="12:22" x14ac:dyDescent="0.2">
      <c r="L34" s="23"/>
      <c r="P34" s="25"/>
      <c r="Q34" s="25"/>
      <c r="R34" s="25"/>
      <c r="S34" s="25"/>
      <c r="T34" s="25"/>
      <c r="U34" s="24"/>
      <c r="V34" s="24"/>
    </row>
    <row r="35" spans="12:22" x14ac:dyDescent="0.2">
      <c r="L35" s="23"/>
      <c r="P35" s="25"/>
      <c r="Q35" s="25"/>
      <c r="R35" s="25"/>
      <c r="S35" s="25"/>
      <c r="T35" s="25"/>
      <c r="U35" s="24"/>
      <c r="V35" s="24"/>
    </row>
    <row r="36" spans="12:22" x14ac:dyDescent="0.2">
      <c r="L36" s="23"/>
      <c r="P36" s="25"/>
      <c r="Q36" s="25"/>
      <c r="R36" s="25"/>
      <c r="S36" s="25"/>
      <c r="T36" s="25"/>
      <c r="U36" s="24"/>
      <c r="V36" s="24"/>
    </row>
    <row r="37" spans="12:22" x14ac:dyDescent="0.2">
      <c r="L37" s="23"/>
      <c r="P37" s="25"/>
      <c r="Q37" s="25"/>
      <c r="R37" s="25"/>
      <c r="S37" s="25"/>
      <c r="T37" s="25"/>
      <c r="U37" s="24"/>
      <c r="V37" s="24"/>
    </row>
    <row r="38" spans="12:22" x14ac:dyDescent="0.2">
      <c r="L38" s="23"/>
      <c r="P38" s="25"/>
      <c r="Q38" s="25"/>
      <c r="R38" s="25"/>
      <c r="S38" s="25"/>
      <c r="T38" s="25"/>
      <c r="U38" s="24"/>
      <c r="V38" s="24"/>
    </row>
    <row r="39" spans="12:22" x14ac:dyDescent="0.2">
      <c r="L39" s="23"/>
      <c r="P39" s="25"/>
      <c r="Q39" s="25"/>
      <c r="R39" s="25"/>
      <c r="S39" s="25"/>
      <c r="T39" s="25"/>
      <c r="U39" s="24"/>
      <c r="V39" s="24"/>
    </row>
    <row r="40" spans="12:22" x14ac:dyDescent="0.2">
      <c r="L40" s="23"/>
      <c r="P40" s="25"/>
      <c r="Q40" s="25"/>
      <c r="R40" s="25"/>
      <c r="S40" s="25"/>
      <c r="T40" s="25"/>
      <c r="U40" s="24"/>
      <c r="V40" s="24"/>
    </row>
    <row r="41" spans="12:22" x14ac:dyDescent="0.2">
      <c r="L41" s="23"/>
      <c r="P41" s="25"/>
      <c r="Q41" s="25"/>
      <c r="R41" s="25"/>
      <c r="S41" s="25"/>
      <c r="T41" s="25"/>
      <c r="U41" s="24"/>
      <c r="V41" s="24"/>
    </row>
    <row r="42" spans="12:22" x14ac:dyDescent="0.2">
      <c r="L42" s="23"/>
      <c r="P42" s="25"/>
      <c r="Q42" s="25"/>
      <c r="R42" s="25"/>
      <c r="S42" s="25"/>
      <c r="T42" s="25"/>
      <c r="U42" s="24"/>
      <c r="V42" s="24"/>
    </row>
    <row r="43" spans="12:22" x14ac:dyDescent="0.2">
      <c r="L43" s="23"/>
      <c r="P43" s="25"/>
      <c r="Q43" s="25"/>
      <c r="R43" s="25"/>
      <c r="S43" s="25"/>
      <c r="T43" s="25"/>
      <c r="U43" s="24"/>
      <c r="V43" s="24"/>
    </row>
    <row r="44" spans="12:22" x14ac:dyDescent="0.2">
      <c r="L44" s="23"/>
      <c r="P44" s="25"/>
      <c r="Q44" s="25"/>
      <c r="R44" s="25"/>
      <c r="S44" s="25"/>
      <c r="T44" s="25"/>
      <c r="U44" s="24"/>
      <c r="V44" s="24"/>
    </row>
    <row r="45" spans="12:22" x14ac:dyDescent="0.2">
      <c r="L45" s="23"/>
      <c r="P45" s="25"/>
      <c r="Q45" s="25"/>
      <c r="R45" s="25"/>
      <c r="S45" s="25"/>
      <c r="T45" s="25"/>
      <c r="U45" s="24"/>
      <c r="V45" s="24"/>
    </row>
    <row r="46" spans="12:22" x14ac:dyDescent="0.2">
      <c r="L46" s="23"/>
      <c r="P46" s="25"/>
      <c r="Q46" s="25"/>
      <c r="R46" s="25"/>
      <c r="S46" s="25"/>
      <c r="T46" s="25"/>
      <c r="U46" s="24"/>
      <c r="V46" s="24"/>
    </row>
    <row r="47" spans="12:22" x14ac:dyDescent="0.2">
      <c r="L47" s="23"/>
      <c r="P47" s="25"/>
      <c r="Q47" s="25"/>
      <c r="R47" s="25"/>
      <c r="S47" s="25"/>
      <c r="T47" s="25"/>
      <c r="U47" s="24"/>
      <c r="V47" s="24"/>
    </row>
    <row r="48" spans="12:22" x14ac:dyDescent="0.2">
      <c r="L48" s="23"/>
      <c r="P48" s="25"/>
      <c r="Q48" s="25"/>
      <c r="R48" s="25"/>
      <c r="S48" s="25"/>
      <c r="T48" s="25"/>
      <c r="U48" s="24"/>
      <c r="V48" s="24"/>
    </row>
    <row r="49" spans="12:22" x14ac:dyDescent="0.2">
      <c r="L49" s="23"/>
      <c r="P49" s="25"/>
      <c r="Q49" s="25"/>
      <c r="R49" s="25"/>
      <c r="S49" s="25"/>
      <c r="T49" s="25"/>
      <c r="U49" s="24"/>
      <c r="V49" s="24"/>
    </row>
    <row r="50" spans="12:22" x14ac:dyDescent="0.2">
      <c r="L50" s="23"/>
      <c r="P50" s="25"/>
      <c r="Q50" s="25"/>
      <c r="R50" s="25"/>
      <c r="S50" s="25"/>
      <c r="T50" s="25"/>
      <c r="U50" s="24"/>
      <c r="V50" s="24"/>
    </row>
    <row r="51" spans="12:22" x14ac:dyDescent="0.2">
      <c r="L51" s="23"/>
      <c r="P51" s="25"/>
      <c r="Q51" s="25"/>
      <c r="R51" s="25"/>
      <c r="S51" s="25"/>
      <c r="T51" s="25"/>
      <c r="U51" s="24"/>
      <c r="V51" s="24"/>
    </row>
    <row r="52" spans="12:22" x14ac:dyDescent="0.2">
      <c r="L52" s="23"/>
      <c r="P52" s="25"/>
      <c r="Q52" s="25"/>
      <c r="R52" s="25"/>
      <c r="S52" s="25"/>
      <c r="T52" s="25"/>
      <c r="U52" s="24"/>
      <c r="V52" s="24"/>
    </row>
    <row r="53" spans="12:22" x14ac:dyDescent="0.2">
      <c r="L53" s="23"/>
      <c r="P53" s="25"/>
      <c r="Q53" s="25"/>
      <c r="R53" s="25"/>
      <c r="S53" s="25"/>
      <c r="T53" s="25"/>
      <c r="U53" s="24"/>
      <c r="V53" s="24"/>
    </row>
    <row r="54" spans="12:22" x14ac:dyDescent="0.2">
      <c r="L54" s="23"/>
      <c r="P54" s="25"/>
      <c r="Q54" s="25"/>
      <c r="R54" s="25"/>
      <c r="S54" s="25"/>
      <c r="T54" s="25"/>
      <c r="U54" s="24"/>
      <c r="V54" s="24"/>
    </row>
    <row r="55" spans="12:22" x14ac:dyDescent="0.2">
      <c r="L55" s="23"/>
      <c r="P55" s="25"/>
      <c r="Q55" s="25"/>
      <c r="R55" s="25"/>
      <c r="S55" s="25"/>
      <c r="T55" s="25"/>
      <c r="U55" s="24"/>
      <c r="V55" s="24"/>
    </row>
    <row r="56" spans="12:22" x14ac:dyDescent="0.2">
      <c r="L56" s="23"/>
      <c r="P56" s="25"/>
      <c r="Q56" s="25"/>
      <c r="R56" s="25"/>
      <c r="S56" s="25"/>
      <c r="T56" s="25"/>
      <c r="U56" s="24"/>
      <c r="V56" s="24"/>
    </row>
    <row r="57" spans="12:22" x14ac:dyDescent="0.2">
      <c r="L57" s="23"/>
      <c r="P57" s="25"/>
      <c r="Q57" s="25"/>
      <c r="R57" s="25"/>
      <c r="S57" s="25"/>
      <c r="T57" s="25"/>
      <c r="U57" s="24"/>
      <c r="V57" s="24"/>
    </row>
    <row r="58" spans="12:22" x14ac:dyDescent="0.2">
      <c r="L58" s="23"/>
      <c r="P58" s="25"/>
      <c r="Q58" s="25"/>
      <c r="R58" s="25"/>
      <c r="S58" s="25"/>
      <c r="T58" s="25"/>
      <c r="U58" s="24"/>
      <c r="V58" s="24"/>
    </row>
    <row r="59" spans="12:22" x14ac:dyDescent="0.2">
      <c r="L59" s="23"/>
      <c r="P59" s="25"/>
      <c r="Q59" s="25"/>
      <c r="R59" s="25"/>
      <c r="S59" s="25"/>
      <c r="T59" s="25"/>
      <c r="U59" s="24"/>
      <c r="V59" s="24"/>
    </row>
    <row r="60" spans="12:22" x14ac:dyDescent="0.2">
      <c r="L60" s="23"/>
      <c r="P60" s="25"/>
      <c r="Q60" s="25"/>
      <c r="R60" s="25"/>
      <c r="S60" s="25"/>
      <c r="T60" s="25"/>
      <c r="U60" s="24"/>
      <c r="V60" s="24"/>
    </row>
    <row r="61" spans="12:22" x14ac:dyDescent="0.2">
      <c r="L61" s="23"/>
      <c r="P61" s="25"/>
      <c r="Q61" s="25"/>
      <c r="R61" s="25"/>
      <c r="S61" s="25"/>
      <c r="T61" s="25"/>
      <c r="U61" s="24"/>
      <c r="V61" s="24"/>
    </row>
    <row r="62" spans="12:22" x14ac:dyDescent="0.2">
      <c r="L62" s="23"/>
      <c r="P62" s="25"/>
      <c r="Q62" s="25"/>
      <c r="R62" s="25"/>
      <c r="S62" s="25"/>
      <c r="T62" s="25"/>
      <c r="U62" s="24"/>
      <c r="V62" s="24"/>
    </row>
    <row r="63" spans="12:22" x14ac:dyDescent="0.2">
      <c r="L63" s="23"/>
      <c r="P63" s="25"/>
      <c r="Q63" s="25"/>
      <c r="R63" s="25"/>
      <c r="S63" s="25"/>
      <c r="T63" s="25"/>
      <c r="U63" s="24"/>
      <c r="V63" s="24"/>
    </row>
    <row r="64" spans="12:22" x14ac:dyDescent="0.2">
      <c r="L64" s="23"/>
      <c r="P64" s="25"/>
      <c r="Q64" s="25"/>
      <c r="R64" s="25"/>
      <c r="S64" s="25"/>
      <c r="T64" s="25"/>
      <c r="U64" s="24"/>
      <c r="V64" s="24"/>
    </row>
    <row r="65" spans="12:22" x14ac:dyDescent="0.2">
      <c r="L65" s="23"/>
      <c r="P65" s="25"/>
      <c r="Q65" s="25"/>
      <c r="R65" s="25"/>
      <c r="S65" s="25"/>
      <c r="T65" s="25"/>
      <c r="U65" s="24"/>
      <c r="V65" s="24"/>
    </row>
    <row r="66" spans="12:22" x14ac:dyDescent="0.2">
      <c r="L66" s="23"/>
      <c r="P66" s="25"/>
      <c r="Q66" s="25"/>
      <c r="R66" s="25"/>
      <c r="S66" s="25"/>
      <c r="T66" s="25"/>
      <c r="U66" s="24"/>
      <c r="V66" s="24"/>
    </row>
    <row r="67" spans="12:22" x14ac:dyDescent="0.2">
      <c r="L67" s="23"/>
      <c r="P67" s="25"/>
      <c r="Q67" s="25"/>
      <c r="R67" s="25"/>
      <c r="S67" s="25"/>
      <c r="T67" s="25"/>
      <c r="U67" s="24"/>
      <c r="V67" s="24"/>
    </row>
    <row r="68" spans="12:22" x14ac:dyDescent="0.2">
      <c r="L68" s="23"/>
      <c r="P68" s="25"/>
      <c r="Q68" s="25"/>
      <c r="R68" s="25"/>
      <c r="S68" s="25"/>
      <c r="T68" s="25"/>
      <c r="U68" s="24"/>
      <c r="V68" s="24"/>
    </row>
    <row r="69" spans="12:22" x14ac:dyDescent="0.2">
      <c r="L69" s="23"/>
      <c r="P69" s="25"/>
      <c r="Q69" s="25"/>
      <c r="R69" s="25"/>
      <c r="S69" s="25"/>
      <c r="T69" s="25"/>
      <c r="U69" s="24"/>
      <c r="V69" s="24"/>
    </row>
    <row r="70" spans="12:22" x14ac:dyDescent="0.2">
      <c r="L70" s="23"/>
      <c r="P70" s="25"/>
      <c r="Q70" s="25"/>
      <c r="R70" s="25"/>
      <c r="S70" s="25"/>
      <c r="T70" s="25"/>
      <c r="U70" s="24"/>
      <c r="V70" s="24"/>
    </row>
    <row r="71" spans="12:22" x14ac:dyDescent="0.2">
      <c r="L71" s="23"/>
      <c r="P71" s="25"/>
      <c r="Q71" s="25"/>
      <c r="R71" s="25"/>
      <c r="S71" s="25"/>
      <c r="T71" s="25"/>
      <c r="U71" s="24"/>
      <c r="V71" s="24"/>
    </row>
    <row r="72" spans="12:22" x14ac:dyDescent="0.2">
      <c r="L72" s="23"/>
      <c r="P72" s="25"/>
      <c r="Q72" s="25"/>
      <c r="R72" s="25"/>
      <c r="S72" s="25"/>
      <c r="T72" s="25"/>
      <c r="U72" s="24"/>
      <c r="V72" s="24"/>
    </row>
    <row r="73" spans="12:22" x14ac:dyDescent="0.2">
      <c r="L73" s="23"/>
      <c r="P73" s="25"/>
      <c r="Q73" s="25"/>
      <c r="R73" s="25"/>
      <c r="S73" s="25"/>
      <c r="T73" s="25"/>
      <c r="U73" s="24"/>
      <c r="V73" s="24"/>
    </row>
    <row r="74" spans="12:22" x14ac:dyDescent="0.2">
      <c r="L74" s="23"/>
      <c r="P74" s="25"/>
      <c r="Q74" s="25"/>
      <c r="R74" s="25"/>
      <c r="S74" s="25"/>
      <c r="T74" s="25"/>
      <c r="U74" s="24"/>
      <c r="V74" s="24"/>
    </row>
    <row r="75" spans="12:22" x14ac:dyDescent="0.2">
      <c r="L75" s="23"/>
      <c r="P75" s="25"/>
      <c r="Q75" s="25"/>
      <c r="R75" s="25"/>
      <c r="S75" s="25"/>
      <c r="T75" s="25"/>
      <c r="U75" s="24"/>
      <c r="V75" s="24"/>
    </row>
    <row r="76" spans="12:22" x14ac:dyDescent="0.2">
      <c r="L76" s="23"/>
      <c r="P76" s="25"/>
      <c r="Q76" s="25"/>
      <c r="R76" s="25"/>
      <c r="S76" s="25"/>
      <c r="T76" s="25"/>
      <c r="U76" s="24"/>
      <c r="V76" s="24"/>
    </row>
    <row r="77" spans="12:22" x14ac:dyDescent="0.2">
      <c r="L77" s="23"/>
      <c r="P77" s="25"/>
      <c r="Q77" s="25"/>
      <c r="R77" s="25"/>
      <c r="S77" s="25"/>
      <c r="T77" s="25"/>
      <c r="U77" s="24"/>
      <c r="V77" s="24"/>
    </row>
    <row r="78" spans="12:22" x14ac:dyDescent="0.2">
      <c r="L78" s="23"/>
      <c r="P78" s="25"/>
      <c r="Q78" s="25"/>
      <c r="R78" s="25"/>
      <c r="S78" s="25"/>
      <c r="T78" s="25"/>
      <c r="U78" s="24"/>
      <c r="V78" s="24"/>
    </row>
    <row r="79" spans="12:22" x14ac:dyDescent="0.2">
      <c r="L79" s="23"/>
      <c r="P79" s="25"/>
      <c r="Q79" s="25"/>
      <c r="R79" s="25"/>
      <c r="S79" s="25"/>
      <c r="T79" s="26"/>
      <c r="U79" s="24"/>
      <c r="V79" s="24"/>
    </row>
  </sheetData>
  <mergeCells count="2">
    <mergeCell ref="G1:J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5B48-814B-6549-AC5C-26C78DA4F199}">
  <dimension ref="A1:H30"/>
  <sheetViews>
    <sheetView zoomScale="221" zoomScaleNormal="221" workbookViewId="0">
      <selection activeCell="D6" sqref="D6"/>
    </sheetView>
  </sheetViews>
  <sheetFormatPr baseColWidth="10" defaultRowHeight="16" x14ac:dyDescent="0.2"/>
  <cols>
    <col min="1" max="2" width="10.83203125" style="2"/>
    <col min="3" max="4" width="18.5" style="2" customWidth="1"/>
    <col min="5" max="5" width="16.33203125" style="2" customWidth="1"/>
    <col min="6" max="6" width="17.1640625" style="2" customWidth="1"/>
    <col min="7" max="16384" width="10.83203125" style="2"/>
  </cols>
  <sheetData>
    <row r="1" spans="1:8" x14ac:dyDescent="0.2">
      <c r="A1" s="51" t="s">
        <v>106</v>
      </c>
    </row>
    <row r="2" spans="1:8" x14ac:dyDescent="0.2">
      <c r="A2" s="11" t="s">
        <v>105</v>
      </c>
    </row>
    <row r="3" spans="1:8" x14ac:dyDescent="0.2">
      <c r="B3" s="30" t="s">
        <v>58</v>
      </c>
      <c r="C3" s="30" t="s">
        <v>65</v>
      </c>
      <c r="D3" s="30" t="s">
        <v>66</v>
      </c>
      <c r="E3" s="30" t="s">
        <v>67</v>
      </c>
      <c r="F3" s="30" t="s">
        <v>68</v>
      </c>
      <c r="G3" s="30" t="s">
        <v>69</v>
      </c>
      <c r="H3" s="30" t="s">
        <v>70</v>
      </c>
    </row>
    <row r="4" spans="1:8" x14ac:dyDescent="0.2">
      <c r="B4" s="2" t="s">
        <v>45</v>
      </c>
      <c r="C4" s="31" cm="1">
        <f t="array" ref="C4">MMULT(TRANSPOSE(w_c_quo),tot_cost_quo)</f>
        <v>77414.220003798633</v>
      </c>
      <c r="D4" s="32" cm="1">
        <f t="array" ref="D4">MMULT(TRANSPOSE(w_e_quo),tot_qaly_quo)</f>
        <v>7.2188061919070892</v>
      </c>
      <c r="E4" s="33"/>
      <c r="F4" s="33"/>
      <c r="G4" s="33"/>
    </row>
    <row r="5" spans="1:8" x14ac:dyDescent="0.2">
      <c r="B5" s="2" t="s">
        <v>49</v>
      </c>
      <c r="C5" s="34" cm="1">
        <f t="array" ref="C5">MMULT(TRANSPOSE(w_c_trt),tot_cost_trt)</f>
        <v>78226.907262671579</v>
      </c>
      <c r="D5" s="33" cm="1">
        <f t="array" ref="D5">MMULT(TRANSPOSE(w_c_trt),tot_qaly_trt)</f>
        <v>7.4992124007031995</v>
      </c>
      <c r="E5" s="34">
        <f t="shared" ref="E5:F8" si="0">C5-C4</f>
        <v>812.68725887294568</v>
      </c>
      <c r="F5" s="35">
        <f t="shared" si="0"/>
        <v>0.28040620879611033</v>
      </c>
      <c r="G5" s="34">
        <f>E5/F5</f>
        <v>2898.2498724337051</v>
      </c>
    </row>
    <row r="6" spans="1:8" x14ac:dyDescent="0.2">
      <c r="C6" s="34"/>
      <c r="D6" s="33"/>
      <c r="E6" s="34"/>
      <c r="F6" s="35"/>
      <c r="G6" s="34"/>
    </row>
    <row r="7" spans="1:8" x14ac:dyDescent="0.2">
      <c r="C7" s="34"/>
      <c r="D7" s="33"/>
      <c r="E7" s="34"/>
      <c r="F7" s="35"/>
      <c r="G7" s="34"/>
    </row>
    <row r="8" spans="1:8" x14ac:dyDescent="0.2">
      <c r="C8" s="34"/>
      <c r="D8" s="33"/>
      <c r="E8" s="34"/>
      <c r="F8" s="35"/>
      <c r="G8" s="34"/>
    </row>
    <row r="10" spans="1:8" x14ac:dyDescent="0.2">
      <c r="A10" s="11"/>
    </row>
    <row r="11" spans="1:8" x14ac:dyDescent="0.2">
      <c r="B11" s="30"/>
      <c r="C11" s="30"/>
      <c r="D11" s="30"/>
      <c r="E11" s="30"/>
      <c r="F11" s="30"/>
      <c r="G11" s="30"/>
      <c r="H11" s="30"/>
    </row>
    <row r="12" spans="1:8" x14ac:dyDescent="0.2">
      <c r="C12" s="31"/>
      <c r="D12" s="32"/>
      <c r="E12" s="33"/>
      <c r="F12" s="33"/>
      <c r="G12" s="33"/>
    </row>
    <row r="13" spans="1:8" x14ac:dyDescent="0.2">
      <c r="C13" s="34"/>
      <c r="D13" s="33"/>
      <c r="E13" s="34"/>
      <c r="F13" s="35"/>
      <c r="G13" s="34"/>
    </row>
    <row r="14" spans="1:8" x14ac:dyDescent="0.2">
      <c r="C14" s="34"/>
      <c r="D14" s="33"/>
      <c r="E14" s="34"/>
      <c r="F14" s="35"/>
      <c r="G14" s="34"/>
    </row>
    <row r="15" spans="1:8" x14ac:dyDescent="0.2">
      <c r="C15" s="34"/>
      <c r="D15" s="33"/>
      <c r="E15" s="34"/>
      <c r="F15" s="35"/>
      <c r="G15" s="34"/>
    </row>
    <row r="17" spans="1:8" x14ac:dyDescent="0.2">
      <c r="A17" s="11"/>
    </row>
    <row r="18" spans="1:8" x14ac:dyDescent="0.2">
      <c r="B18" s="30"/>
      <c r="C18" s="30"/>
      <c r="D18" s="30"/>
      <c r="E18" s="30"/>
      <c r="F18" s="30"/>
      <c r="G18" s="30"/>
      <c r="H18" s="30"/>
    </row>
    <row r="19" spans="1:8" x14ac:dyDescent="0.2">
      <c r="C19" s="31"/>
      <c r="D19" s="32"/>
      <c r="E19" s="33"/>
      <c r="F19" s="33"/>
      <c r="G19" s="33"/>
    </row>
    <row r="20" spans="1:8" x14ac:dyDescent="0.2">
      <c r="C20" s="34"/>
      <c r="D20" s="33"/>
      <c r="E20" s="34"/>
      <c r="F20" s="35"/>
      <c r="G20" s="34"/>
    </row>
    <row r="21" spans="1:8" x14ac:dyDescent="0.2">
      <c r="C21" s="34"/>
      <c r="D21" s="33"/>
      <c r="E21" s="34"/>
      <c r="F21" s="35"/>
      <c r="G21" s="34"/>
    </row>
    <row r="24" spans="1:8" x14ac:dyDescent="0.2">
      <c r="A24" s="11"/>
    </row>
    <row r="25" spans="1:8" x14ac:dyDescent="0.2">
      <c r="B25" s="30"/>
      <c r="C25" s="30"/>
      <c r="D25" s="30"/>
      <c r="E25" s="30"/>
      <c r="F25" s="30"/>
      <c r="G25" s="30"/>
      <c r="H25" s="30"/>
    </row>
    <row r="26" spans="1:8" x14ac:dyDescent="0.2">
      <c r="C26" s="31"/>
      <c r="D26" s="32"/>
      <c r="E26" s="33"/>
      <c r="F26" s="33"/>
      <c r="G26" s="33"/>
    </row>
    <row r="27" spans="1:8" x14ac:dyDescent="0.2">
      <c r="C27" s="34"/>
      <c r="D27" s="33"/>
      <c r="E27" s="34"/>
      <c r="F27" s="35"/>
      <c r="G27" s="34"/>
    </row>
    <row r="28" spans="1:8" x14ac:dyDescent="0.2">
      <c r="C28" s="34"/>
      <c r="D28" s="33"/>
      <c r="E28" s="34"/>
      <c r="F28" s="35"/>
      <c r="G28" s="34"/>
    </row>
    <row r="29" spans="1:8" x14ac:dyDescent="0.2">
      <c r="C29" s="34"/>
      <c r="D29" s="33"/>
      <c r="E29" s="34"/>
      <c r="F29" s="35"/>
      <c r="G29" s="34"/>
    </row>
    <row r="30" spans="1:8" x14ac:dyDescent="0.2">
      <c r="C30" s="34"/>
      <c r="D30" s="33"/>
      <c r="E30" s="34"/>
      <c r="F30" s="35"/>
      <c r="G30" s="34"/>
    </row>
  </sheetData>
  <sortState xmlns:xlrd2="http://schemas.microsoft.com/office/spreadsheetml/2017/richdata2" ref="B4:H8">
    <sortCondition ref="C4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41</vt:i4>
      </vt:variant>
    </vt:vector>
  </HeadingPairs>
  <TitlesOfParts>
    <vt:vector size="54" baseType="lpstr">
      <vt:lpstr>parameters</vt:lpstr>
      <vt:lpstr>transition_rates</vt:lpstr>
      <vt:lpstr>transition_probs</vt:lpstr>
      <vt:lpstr>payoffs</vt:lpstr>
      <vt:lpstr>Life_table_HD</vt:lpstr>
      <vt:lpstr>Life_table_SD</vt:lpstr>
      <vt:lpstr>&lt;&lt;&lt; SETUP &lt;&lt;&lt;</vt:lpstr>
      <vt:lpstr>Embed Transition Matrix</vt:lpstr>
      <vt:lpstr>Calculate Transition Matrix</vt:lpstr>
      <vt:lpstr>one-way</vt:lpstr>
      <vt:lpstr>quo</vt:lpstr>
      <vt:lpstr>trt</vt:lpstr>
      <vt:lpstr>ICER</vt:lpstr>
      <vt:lpstr>c_D</vt:lpstr>
      <vt:lpstr>c_D_quo</vt:lpstr>
      <vt:lpstr>c_D_trt</vt:lpstr>
      <vt:lpstr>c_fatal_firstYr</vt:lpstr>
      <vt:lpstr>c_H</vt:lpstr>
      <vt:lpstr>c_H_quo</vt:lpstr>
      <vt:lpstr>c_H_trt</vt:lpstr>
      <vt:lpstr>c_nonfatal_firstYr</vt:lpstr>
      <vt:lpstr>c_S</vt:lpstr>
      <vt:lpstr>c_S_quo</vt:lpstr>
      <vt:lpstr>c_S_trt</vt:lpstr>
      <vt:lpstr>c_trt</vt:lpstr>
      <vt:lpstr>d_c</vt:lpstr>
      <vt:lpstr>d_e</vt:lpstr>
      <vt:lpstr>hr_HS_trt</vt:lpstr>
      <vt:lpstr>hr_S</vt:lpstr>
      <vt:lpstr>n_age_init</vt:lpstr>
      <vt:lpstr>n_age_max</vt:lpstr>
      <vt:lpstr>n_cycle_length</vt:lpstr>
      <vt:lpstr>n_cycles</vt:lpstr>
      <vt:lpstr>n_sim</vt:lpstr>
      <vt:lpstr>p_HS</vt:lpstr>
      <vt:lpstr>p_HS_trt</vt:lpstr>
      <vt:lpstr>r_HS</vt:lpstr>
      <vt:lpstr>tot_cost_quo</vt:lpstr>
      <vt:lpstr>tot_cost_trt</vt:lpstr>
      <vt:lpstr>tot_qaly_quo</vt:lpstr>
      <vt:lpstr>tot_qaly_trt</vt:lpstr>
      <vt:lpstr>u_D</vt:lpstr>
      <vt:lpstr>u_D_quo</vt:lpstr>
      <vt:lpstr>u_D_trt</vt:lpstr>
      <vt:lpstr>u_H</vt:lpstr>
      <vt:lpstr>u_H_quo</vt:lpstr>
      <vt:lpstr>u_H_trt</vt:lpstr>
      <vt:lpstr>u_S</vt:lpstr>
      <vt:lpstr>u_S_quo</vt:lpstr>
      <vt:lpstr>u_S_trt</vt:lpstr>
      <vt:lpstr>w_c_quo</vt:lpstr>
      <vt:lpstr>w_c_trt</vt:lpstr>
      <vt:lpstr>w_e_quo</vt:lpstr>
      <vt:lpstr>w_e_trt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2022-08-11T14:37:53Z</dcterms:created>
  <dcterms:modified xsi:type="dcterms:W3CDTF">2023-04-03T19:22:55Z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2022-08-31T16:58:03Z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61a584df-31bc-49b8-86dc-4ad87c60c0ac</vt:lpwstr>
  </property>
  <property fmtid="{D5CDD505-2E9C-101B-9397-08002B2CF9AE}" pid="8" name="MSIP_Label_792c8cef-6f2b-4af1-b4ac-d815ff795cd6_ContentBits">
    <vt:lpwstr>0</vt:lpwstr>
  </property>
</Properties>
</file>