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uh\Documents\Hydroponics\"/>
    </mc:Choice>
  </mc:AlternateContent>
  <xr:revisionPtr revIDLastSave="0" documentId="8_{2CE4B220-EBB7-4CB8-9655-893AED394234}" xr6:coauthVersionLast="33" xr6:coauthVersionMax="33" xr10:uidLastSave="{00000000-0000-0000-0000-000000000000}"/>
  <bookViews>
    <workbookView xWindow="0" yWindow="1800" windowWidth="17256" windowHeight="5652" firstSheet="1" activeTab="2" xr2:uid="{20D4F544-5715-4127-8972-7A1C134B859E}"/>
  </bookViews>
  <sheets>
    <sheet name="Nutrient Composition" sheetId="1" r:id="rId1"/>
    <sheet name="Final Concentrations" sheetId="2" r:id="rId2"/>
    <sheet name="Prices" sheetId="3" r:id="rId3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7" i="2"/>
  <c r="J5" i="2"/>
  <c r="L2" i="2"/>
  <c r="J2" i="2"/>
  <c r="E19" i="1"/>
  <c r="I11" i="1"/>
  <c r="J11" i="1"/>
  <c r="L16" i="1"/>
  <c r="L12" i="1"/>
  <c r="L13" i="1"/>
  <c r="L14" i="1"/>
  <c r="L15" i="1"/>
  <c r="L11" i="1"/>
  <c r="L8" i="1"/>
  <c r="L9" i="1"/>
  <c r="L10" i="1"/>
  <c r="L7" i="1"/>
  <c r="L4" i="1"/>
  <c r="L5" i="1"/>
  <c r="L6" i="1"/>
  <c r="L3" i="1"/>
  <c r="J16" i="1"/>
  <c r="J12" i="1"/>
  <c r="J13" i="1"/>
  <c r="J14" i="1"/>
  <c r="J15" i="1"/>
  <c r="J8" i="1"/>
  <c r="J9" i="1"/>
  <c r="J10" i="1"/>
  <c r="J7" i="1"/>
  <c r="J5" i="1"/>
  <c r="J6" i="1"/>
  <c r="J4" i="1"/>
  <c r="J3" i="1"/>
  <c r="B15" i="2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C7" i="3"/>
  <c r="I7" i="3"/>
  <c r="I3" i="3"/>
  <c r="I17" i="3" s="1"/>
  <c r="I4" i="3"/>
  <c r="I5" i="3"/>
  <c r="I6" i="3"/>
  <c r="I8" i="3"/>
  <c r="I9" i="3"/>
  <c r="I10" i="3"/>
  <c r="I11" i="3"/>
  <c r="I12" i="3"/>
  <c r="I13" i="3"/>
  <c r="I14" i="3"/>
  <c r="I15" i="3"/>
  <c r="I2" i="3"/>
  <c r="F3" i="3"/>
  <c r="F4" i="3"/>
  <c r="F5" i="3"/>
  <c r="F6" i="3"/>
  <c r="F8" i="3"/>
  <c r="F9" i="3"/>
  <c r="F10" i="3"/>
  <c r="F11" i="3"/>
  <c r="F12" i="3"/>
  <c r="F13" i="3"/>
  <c r="F14" i="3"/>
  <c r="F15" i="3"/>
  <c r="F2" i="3"/>
  <c r="B15" i="3"/>
  <c r="C15" i="3"/>
  <c r="C14" i="3"/>
  <c r="C13" i="3"/>
  <c r="C12" i="3"/>
  <c r="C11" i="3"/>
  <c r="C10" i="3"/>
  <c r="C2" i="3"/>
  <c r="C6" i="3"/>
  <c r="C5" i="3"/>
  <c r="C4" i="3"/>
  <c r="C3" i="3"/>
  <c r="L8" i="2"/>
  <c r="L9" i="2"/>
  <c r="L10" i="2"/>
  <c r="L11" i="2"/>
  <c r="L12" i="2"/>
  <c r="L13" i="2"/>
  <c r="L14" i="2"/>
  <c r="L15" i="2"/>
  <c r="J15" i="2"/>
  <c r="J14" i="2"/>
  <c r="J13" i="2"/>
  <c r="J12" i="2"/>
  <c r="J11" i="2"/>
  <c r="J10" i="2"/>
  <c r="J9" i="2"/>
  <c r="J8" i="2"/>
  <c r="L7" i="2"/>
  <c r="L6" i="2"/>
  <c r="J6" i="2"/>
  <c r="J4" i="2" s="1"/>
  <c r="L3" i="2"/>
  <c r="L5" i="2"/>
  <c r="J3" i="2"/>
  <c r="I16" i="1"/>
  <c r="I12" i="1"/>
  <c r="I13" i="1"/>
  <c r="I14" i="1"/>
  <c r="I15" i="1"/>
  <c r="K8" i="1"/>
  <c r="K9" i="1"/>
  <c r="K10" i="1"/>
  <c r="K7" i="1"/>
  <c r="I4" i="1"/>
  <c r="I5" i="1"/>
  <c r="I6" i="1"/>
  <c r="I3" i="1"/>
  <c r="E27" i="1"/>
  <c r="D27" i="1"/>
  <c r="E20" i="1"/>
  <c r="E21" i="1"/>
  <c r="E22" i="1"/>
  <c r="E23" i="1"/>
  <c r="F12" i="1"/>
  <c r="F13" i="1"/>
  <c r="F14" i="1"/>
  <c r="F11" i="1"/>
  <c r="F5" i="1"/>
  <c r="F6" i="1"/>
  <c r="F7" i="1"/>
  <c r="F4" i="1"/>
  <c r="A29" i="1"/>
  <c r="L4" i="2" l="1"/>
</calcChain>
</file>

<file path=xl/sharedStrings.xml><?xml version="1.0" encoding="utf-8"?>
<sst xmlns="http://schemas.openxmlformats.org/spreadsheetml/2006/main" count="152" uniqueCount="77">
  <si>
    <t xml:space="preserve">1 M </t>
  </si>
  <si>
    <t>Stock Solutions</t>
  </si>
  <si>
    <t>KH2PO4</t>
  </si>
  <si>
    <t>Potassium Phosphate monobasic</t>
  </si>
  <si>
    <t>KNO3</t>
  </si>
  <si>
    <t>Potassium Nitrate</t>
  </si>
  <si>
    <t>Ca(NO3)2</t>
  </si>
  <si>
    <t>Calcium Nitrate</t>
  </si>
  <si>
    <t>MgSO4</t>
  </si>
  <si>
    <t>Magnesium Sulfate</t>
  </si>
  <si>
    <t>Nutrient Solution 1</t>
  </si>
  <si>
    <t>The water-culture method for growing plants without soil / D.R. Hoagland and D.I. Arnon. (1950)</t>
  </si>
  <si>
    <t>Nutrient Solution 2</t>
  </si>
  <si>
    <t>NH4H2PO4</t>
  </si>
  <si>
    <t>Ammonium dihydrogen phosphate</t>
  </si>
  <si>
    <t>Calcium nitrate</t>
  </si>
  <si>
    <t>L/gal</t>
  </si>
  <si>
    <t>Micro Nutrient Stock Solution</t>
  </si>
  <si>
    <t>Compound</t>
  </si>
  <si>
    <t>H3BO3</t>
  </si>
  <si>
    <t>Boric Acid</t>
  </si>
  <si>
    <t>Manganese Chloride</t>
  </si>
  <si>
    <t>MnCl2 * 4H2O</t>
  </si>
  <si>
    <t>Zinc Sulfate</t>
  </si>
  <si>
    <t>ZnSO4 * 7H2O</t>
  </si>
  <si>
    <t>Copper Sulfate</t>
  </si>
  <si>
    <t>CuSO4 * 5H2O</t>
  </si>
  <si>
    <t>Molybdic Acid</t>
  </si>
  <si>
    <t>H2MoO4*H2O</t>
  </si>
  <si>
    <t>mL per L water</t>
  </si>
  <si>
    <t>grams per liter water</t>
  </si>
  <si>
    <t>From pg 31 of reference</t>
  </si>
  <si>
    <t>Can use either solution 1 or 2</t>
  </si>
  <si>
    <t>Add 1 mL of Micro stock solution per L of chosen nutrient solution</t>
  </si>
  <si>
    <t>Note from text:</t>
  </si>
  <si>
    <t>Mo may not need adding due to minute quantities required found in most water supplies</t>
  </si>
  <si>
    <t>Iron Supplement</t>
  </si>
  <si>
    <t>Stock Solution</t>
  </si>
  <si>
    <t>(NH4)5[Fe(C6H4O7)2]·2H2O</t>
  </si>
  <si>
    <t>Ferric ammonium citrate</t>
  </si>
  <si>
    <t>%:ppm</t>
  </si>
  <si>
    <t>1:10,000</t>
  </si>
  <si>
    <t>ppm Fe ammonium citrate</t>
  </si>
  <si>
    <t>Regularly add (twice a week or so) 1 mL of Fe supplement solution per 1 L of Nutrient solution</t>
  </si>
  <si>
    <t>Zinc may not be needed due to water supply</t>
  </si>
  <si>
    <t>Cu may not be needed due to water supply</t>
  </si>
  <si>
    <t>MW</t>
  </si>
  <si>
    <t>Molarity</t>
  </si>
  <si>
    <t>Solution 1 Final Molarity</t>
  </si>
  <si>
    <t>Solution 2 Final Molarity</t>
  </si>
  <si>
    <t>K</t>
  </si>
  <si>
    <t>Ca</t>
  </si>
  <si>
    <t>Mg</t>
  </si>
  <si>
    <t>Constituent</t>
  </si>
  <si>
    <t>PO4</t>
  </si>
  <si>
    <t>NO3</t>
  </si>
  <si>
    <t>BO3</t>
  </si>
  <si>
    <t>Mn</t>
  </si>
  <si>
    <t>Zn</t>
  </si>
  <si>
    <t>Cu</t>
  </si>
  <si>
    <t>Mo</t>
  </si>
  <si>
    <t>Fe</t>
  </si>
  <si>
    <t>SO4</t>
  </si>
  <si>
    <t>Solution 1 Molarity</t>
  </si>
  <si>
    <t>Solution 2 Molarity</t>
  </si>
  <si>
    <t>Reagent Price $/gram</t>
  </si>
  <si>
    <t>http://www.elementalscientific.net/store/scripts/default.asp</t>
  </si>
  <si>
    <t>Solution 1 $/L</t>
  </si>
  <si>
    <t>Solution 2 $/L</t>
  </si>
  <si>
    <t>Solution 1 g/L</t>
  </si>
  <si>
    <t>Solution 2 g/L</t>
  </si>
  <si>
    <t xml:space="preserve">Solution 1 ppm </t>
  </si>
  <si>
    <t>Solution 2 ppm</t>
  </si>
  <si>
    <t>Weight</t>
  </si>
  <si>
    <t>N</t>
  </si>
  <si>
    <t>NH3</t>
  </si>
  <si>
    <t>solution 1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</si>
</sst>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8" xfId="0" applyNumberFormat="1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8" xfId="0" applyBorder="1"/>
    <xf numFmtId="0" fontId="1" fillId="0" borderId="13" xfId="0" applyFont="1" applyBorder="1"/>
    <xf numFmtId="49" fontId="0" fillId="0" borderId="14" xfId="0" applyNumberFormat="1" applyBorder="1"/>
    <xf numFmtId="0" fontId="0" fillId="0" borderId="15" xfId="0" applyBorder="1"/>
    <xf numFmtId="0" fontId="1" fillId="0" borderId="1" xfId="0" applyFont="1" applyBorder="1"/>
    <xf numFmtId="0" fontId="0" fillId="0" borderId="14" xfId="0" applyBorder="1"/>
    <xf numFmtId="49" fontId="1" fillId="0" borderId="15" xfId="0" applyNumberFormat="1" applyFont="1" applyBorder="1"/>
    <xf numFmtId="0" fontId="0" fillId="0" borderId="5" xfId="0" applyFill="1" applyBorder="1"/>
    <xf numFmtId="0" fontId="2" fillId="0" borderId="0" xfId="0" applyFont="1" applyFill="1" applyBorder="1"/>
    <xf numFmtId="0" fontId="2" fillId="0" borderId="0" xfId="0" applyFont="1"/>
    <xf numFmtId="10" fontId="0" fillId="0" borderId="7" xfId="0" applyNumberFormat="1" applyBorder="1"/>
    <xf numFmtId="0" fontId="0" fillId="0" borderId="10" xfId="0" applyBorder="1"/>
    <xf numFmtId="0" fontId="1" fillId="0" borderId="1" xfId="0" applyFont="1" applyFill="1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1" fillId="0" borderId="15" xfId="0" applyFont="1" applyFill="1" applyBorder="1"/>
    <xf numFmtId="0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Font="1" applyFill="1" applyBorder="1"/>
    <xf numFmtId="0" fontId="0" fillId="0" borderId="0" xfId="0" applyFont="1" applyBorder="1"/>
    <xf numFmtId="0" fontId="1" fillId="0" borderId="6" xfId="0" applyFont="1" applyFill="1" applyBorder="1"/>
    <xf numFmtId="0" fontId="0" fillId="0" borderId="5" xfId="0" applyFont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Border="1"/>
    <xf numFmtId="0" fontId="0" fillId="0" borderId="9" xfId="0" applyFont="1" applyFill="1" applyBorder="1"/>
    <xf numFmtId="49" fontId="1" fillId="0" borderId="0" xfId="0" applyNumberFormat="1" applyFont="1" applyBorder="1"/>
    <xf numFmtId="0" fontId="3" fillId="0" borderId="11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Fill="1" applyBorder="1"/>
    <xf numFmtId="0" fontId="1" fillId="0" borderId="16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4DA8-F891-4C09-BEE5-AEE22AA51A06}">
  <dimension ref="A1:L30"/>
  <sheetViews>
    <sheetView topLeftCell="A11" zoomScale="115" zoomScaleNormal="115" workbookViewId="0">
      <selection activeCell="E27" sqref="E27"/>
    </sheetView>
  </sheetViews>
  <sheetFormatPr defaultRowHeight="14.4" x14ac:dyDescent="0.3"/>
  <cols>
    <col min="1" max="1" width="17.77734375" customWidth="1"/>
    <col min="2" max="2" width="24.109375" style="2" bestFit="1" customWidth="1"/>
    <col min="3" max="3" width="29.21875" bestFit="1" customWidth="1"/>
    <col min="4" max="4" width="14.6640625" bestFit="1" customWidth="1"/>
    <col min="8" max="8" width="24.77734375" customWidth="1"/>
    <col min="9" max="10" width="21.33203125" customWidth="1"/>
    <col min="11" max="11" width="20.5546875" customWidth="1"/>
    <col min="12" max="12" width="14.21875" bestFit="1" customWidth="1"/>
  </cols>
  <sheetData>
    <row r="1" spans="1:12" ht="15" thickBot="1" x14ac:dyDescent="0.35">
      <c r="A1" t="s">
        <v>11</v>
      </c>
    </row>
    <row r="2" spans="1:12" ht="15" thickBot="1" x14ac:dyDescent="0.35">
      <c r="A2" s="1" t="s">
        <v>10</v>
      </c>
      <c r="E2" t="s">
        <v>16</v>
      </c>
      <c r="F2">
        <v>3.79</v>
      </c>
      <c r="H2" s="1" t="s">
        <v>18</v>
      </c>
      <c r="I2" s="17" t="s">
        <v>48</v>
      </c>
      <c r="J2" s="33" t="s">
        <v>71</v>
      </c>
      <c r="K2" s="33" t="s">
        <v>49</v>
      </c>
      <c r="L2" s="34" t="s">
        <v>72</v>
      </c>
    </row>
    <row r="3" spans="1:12" ht="15" thickBot="1" x14ac:dyDescent="0.35">
      <c r="A3" s="17" t="s">
        <v>1</v>
      </c>
      <c r="B3" s="18"/>
      <c r="C3" s="19"/>
      <c r="D3" s="20" t="s">
        <v>29</v>
      </c>
      <c r="E3" s="20" t="s">
        <v>46</v>
      </c>
      <c r="F3" s="28" t="s">
        <v>47</v>
      </c>
      <c r="H3" s="53" t="s">
        <v>2</v>
      </c>
      <c r="I3" s="44">
        <f>F4</f>
        <v>1E-3</v>
      </c>
      <c r="J3" s="32">
        <f>I3*E4*10^3</f>
        <v>136.08600000000001</v>
      </c>
      <c r="K3" s="45">
        <v>0</v>
      </c>
      <c r="L3" s="46">
        <f>K3</f>
        <v>0</v>
      </c>
    </row>
    <row r="4" spans="1:12" x14ac:dyDescent="0.3">
      <c r="A4" s="5" t="s">
        <v>0</v>
      </c>
      <c r="B4" s="3" t="s">
        <v>2</v>
      </c>
      <c r="C4" s="6" t="s">
        <v>3</v>
      </c>
      <c r="D4" s="11">
        <v>1</v>
      </c>
      <c r="E4" s="27">
        <v>136.08600000000001</v>
      </c>
      <c r="F4" s="27">
        <f>D4/1000</f>
        <v>1E-3</v>
      </c>
      <c r="H4" s="53" t="s">
        <v>4</v>
      </c>
      <c r="I4" s="44">
        <f>F5</f>
        <v>5.0000000000000001E-3</v>
      </c>
      <c r="J4" s="32">
        <f>I4*E5*10^3</f>
        <v>505.51599999999996</v>
      </c>
      <c r="K4" s="45">
        <v>0</v>
      </c>
      <c r="L4" s="46">
        <f>K4</f>
        <v>0</v>
      </c>
    </row>
    <row r="5" spans="1:12" x14ac:dyDescent="0.3">
      <c r="A5" s="5" t="s">
        <v>0</v>
      </c>
      <c r="B5" s="3" t="s">
        <v>4</v>
      </c>
      <c r="C5" s="6" t="s">
        <v>5</v>
      </c>
      <c r="D5" s="11">
        <v>5</v>
      </c>
      <c r="E5" s="11">
        <v>101.1032</v>
      </c>
      <c r="F5" s="11">
        <f>D5/1000</f>
        <v>5.0000000000000001E-3</v>
      </c>
      <c r="H5" s="53" t="s">
        <v>6</v>
      </c>
      <c r="I5" s="44">
        <f>F6</f>
        <v>5.0000000000000001E-3</v>
      </c>
      <c r="J5" s="32">
        <f>I5*E6*10^3</f>
        <v>820.43999999999994</v>
      </c>
      <c r="K5" s="45">
        <v>0</v>
      </c>
      <c r="L5" s="46">
        <f>K5</f>
        <v>0</v>
      </c>
    </row>
    <row r="6" spans="1:12" x14ac:dyDescent="0.3">
      <c r="A6" s="5" t="s">
        <v>0</v>
      </c>
      <c r="B6" s="3" t="s">
        <v>6</v>
      </c>
      <c r="C6" s="6" t="s">
        <v>7</v>
      </c>
      <c r="D6" s="11">
        <v>5</v>
      </c>
      <c r="E6" s="11">
        <v>164.08799999999999</v>
      </c>
      <c r="F6" s="11">
        <f>D6/1000</f>
        <v>5.0000000000000001E-3</v>
      </c>
      <c r="H6" s="53" t="s">
        <v>8</v>
      </c>
      <c r="I6" s="44">
        <f>F7</f>
        <v>2E-3</v>
      </c>
      <c r="J6" s="32">
        <f>I6*E7*10^3</f>
        <v>240.732</v>
      </c>
      <c r="K6" s="45">
        <v>0</v>
      </c>
      <c r="L6" s="46">
        <f>K6</f>
        <v>0</v>
      </c>
    </row>
    <row r="7" spans="1:12" ht="15" thickBot="1" x14ac:dyDescent="0.35">
      <c r="A7" s="7" t="s">
        <v>0</v>
      </c>
      <c r="B7" s="8" t="s">
        <v>8</v>
      </c>
      <c r="C7" s="9" t="s">
        <v>9</v>
      </c>
      <c r="D7" s="12">
        <v>2</v>
      </c>
      <c r="E7" s="12">
        <v>120.366</v>
      </c>
      <c r="F7" s="12">
        <f>D7/1000</f>
        <v>2E-3</v>
      </c>
      <c r="H7" s="53" t="s">
        <v>13</v>
      </c>
      <c r="I7" s="47">
        <v>0</v>
      </c>
      <c r="J7" s="32">
        <f>I7*E11*10^-3</f>
        <v>0</v>
      </c>
      <c r="K7" s="32">
        <f>F11</f>
        <v>1E-3</v>
      </c>
      <c r="L7" s="48">
        <f>K7*E11*10^3</f>
        <v>115.03</v>
      </c>
    </row>
    <row r="8" spans="1:12" x14ac:dyDescent="0.3">
      <c r="H8" s="53" t="s">
        <v>4</v>
      </c>
      <c r="I8" s="47">
        <v>0</v>
      </c>
      <c r="J8" s="32">
        <f>I8*E12*10^-3</f>
        <v>0</v>
      </c>
      <c r="K8" s="32">
        <f>F12</f>
        <v>6.0000000000000001E-3</v>
      </c>
      <c r="L8" s="48">
        <f>K8*E12*10^3</f>
        <v>606.61919999999998</v>
      </c>
    </row>
    <row r="9" spans="1:12" ht="15" thickBot="1" x14ac:dyDescent="0.35">
      <c r="A9" s="1" t="s">
        <v>12</v>
      </c>
      <c r="H9" s="53" t="s">
        <v>6</v>
      </c>
      <c r="I9" s="47">
        <v>0</v>
      </c>
      <c r="J9" s="32">
        <f>I9*E13*10^-3</f>
        <v>0</v>
      </c>
      <c r="K9" s="32">
        <f>F13</f>
        <v>4.0000000000000001E-3</v>
      </c>
      <c r="L9" s="48">
        <f>K9*E13*10^3</f>
        <v>656.35199999999998</v>
      </c>
    </row>
    <row r="10" spans="1:12" ht="15" thickBot="1" x14ac:dyDescent="0.35">
      <c r="A10" s="17" t="s">
        <v>1</v>
      </c>
      <c r="B10" s="18"/>
      <c r="C10" s="21"/>
      <c r="D10" s="20" t="s">
        <v>29</v>
      </c>
      <c r="E10" s="20" t="s">
        <v>46</v>
      </c>
      <c r="F10" s="28" t="s">
        <v>47</v>
      </c>
      <c r="H10" s="53" t="s">
        <v>8</v>
      </c>
      <c r="I10" s="47">
        <v>0</v>
      </c>
      <c r="J10" s="32">
        <f>I10*E14*10^-3</f>
        <v>0</v>
      </c>
      <c r="K10" s="32">
        <f>F14</f>
        <v>2E-3</v>
      </c>
      <c r="L10" s="48">
        <f>K10*E14*10^3</f>
        <v>240.732</v>
      </c>
    </row>
    <row r="11" spans="1:12" x14ac:dyDescent="0.3">
      <c r="A11" s="5" t="s">
        <v>0</v>
      </c>
      <c r="B11" s="3" t="s">
        <v>13</v>
      </c>
      <c r="C11" s="14" t="s">
        <v>14</v>
      </c>
      <c r="D11" s="11">
        <v>1</v>
      </c>
      <c r="E11" s="11">
        <v>115.03</v>
      </c>
      <c r="F11" s="27">
        <f>D11/1000</f>
        <v>1E-3</v>
      </c>
      <c r="H11" s="53" t="s">
        <v>19</v>
      </c>
      <c r="I11" s="44">
        <f>E19/1000</f>
        <v>4.6255862849749316E-5</v>
      </c>
      <c r="J11" s="32">
        <f>I11*D19*10^3</f>
        <v>2.8600000000000003</v>
      </c>
      <c r="K11" s="45">
        <v>4.6255862849749316E-5</v>
      </c>
      <c r="L11" s="48">
        <f>K11*D19*10^3</f>
        <v>2.8600000000000003</v>
      </c>
    </row>
    <row r="12" spans="1:12" x14ac:dyDescent="0.3">
      <c r="A12" s="5" t="s">
        <v>0</v>
      </c>
      <c r="B12" s="3" t="s">
        <v>4</v>
      </c>
      <c r="C12" s="14" t="s">
        <v>5</v>
      </c>
      <c r="D12" s="11">
        <v>6</v>
      </c>
      <c r="E12" s="11">
        <v>101.1032</v>
      </c>
      <c r="F12" s="11">
        <f>D12/1000</f>
        <v>6.0000000000000001E-3</v>
      </c>
      <c r="H12" s="53" t="s">
        <v>22</v>
      </c>
      <c r="I12" s="44">
        <f>E20/1000</f>
        <v>9.1455712192410699E-6</v>
      </c>
      <c r="J12" s="32">
        <f>I12*D20*10^3</f>
        <v>1.8100000000000003</v>
      </c>
      <c r="K12" s="45">
        <v>9.1455712192410699E-6</v>
      </c>
      <c r="L12" s="48">
        <f>K12*D20*10^3</f>
        <v>1.8100000000000003</v>
      </c>
    </row>
    <row r="13" spans="1:12" x14ac:dyDescent="0.3">
      <c r="A13" s="5" t="s">
        <v>0</v>
      </c>
      <c r="B13" s="3" t="s">
        <v>6</v>
      </c>
      <c r="C13" s="14" t="s">
        <v>15</v>
      </c>
      <c r="D13" s="11">
        <v>4</v>
      </c>
      <c r="E13" s="11">
        <v>164.08799999999999</v>
      </c>
      <c r="F13" s="11">
        <f>D13/1000</f>
        <v>4.0000000000000001E-3</v>
      </c>
      <c r="H13" s="53" t="s">
        <v>24</v>
      </c>
      <c r="I13" s="44">
        <f>E21/1000</f>
        <v>7.6513755086425772E-7</v>
      </c>
      <c r="J13" s="32">
        <f>I13*D21*10^3</f>
        <v>0.22</v>
      </c>
      <c r="K13" s="45">
        <v>7.6513755086425772E-7</v>
      </c>
      <c r="L13" s="48">
        <f>K13*D21*10^3</f>
        <v>0.22</v>
      </c>
    </row>
    <row r="14" spans="1:12" ht="15" thickBot="1" x14ac:dyDescent="0.35">
      <c r="A14" s="7" t="s">
        <v>0</v>
      </c>
      <c r="B14" s="8" t="s">
        <v>8</v>
      </c>
      <c r="C14" s="16" t="s">
        <v>9</v>
      </c>
      <c r="D14" s="12">
        <v>2</v>
      </c>
      <c r="E14" s="12">
        <v>120.366</v>
      </c>
      <c r="F14" s="12">
        <f>D14/1000</f>
        <v>2E-3</v>
      </c>
      <c r="H14" s="53" t="s">
        <v>26</v>
      </c>
      <c r="I14" s="44">
        <f>E22/1000</f>
        <v>3.2040370867292785E-7</v>
      </c>
      <c r="J14" s="32">
        <f>I14*D22*10^3</f>
        <v>7.9999999999999988E-2</v>
      </c>
      <c r="K14" s="45">
        <v>3.2040370867292785E-7</v>
      </c>
      <c r="L14" s="48">
        <f>K14*D22*10^3</f>
        <v>7.9999999999999988E-2</v>
      </c>
    </row>
    <row r="15" spans="1:12" x14ac:dyDescent="0.3">
      <c r="A15" s="23" t="s">
        <v>31</v>
      </c>
      <c r="C15" s="24" t="s">
        <v>32</v>
      </c>
      <c r="H15" s="53" t="s">
        <v>28</v>
      </c>
      <c r="I15" s="44">
        <f>E23/1000</f>
        <v>1.1112531045633609E-7</v>
      </c>
      <c r="J15" s="32">
        <f>I15*D23*10^3</f>
        <v>0.02</v>
      </c>
      <c r="K15" s="45">
        <v>1.1112531045633609E-7</v>
      </c>
      <c r="L15" s="48">
        <f>K15*D23*10^3</f>
        <v>0.02</v>
      </c>
    </row>
    <row r="16" spans="1:12" ht="15" thickBot="1" x14ac:dyDescent="0.35">
      <c r="H16" s="53" t="s">
        <v>38</v>
      </c>
      <c r="I16" s="49">
        <f>E27/1000</f>
        <v>1.7857461740388223E-7</v>
      </c>
      <c r="J16" s="50">
        <f>I16*D27*10^3</f>
        <v>5.000000000000001E-2</v>
      </c>
      <c r="K16" s="51">
        <v>1.7857461740388223E-7</v>
      </c>
      <c r="L16" s="52">
        <f>K16*D27*10^3</f>
        <v>5.000000000000001E-2</v>
      </c>
    </row>
    <row r="17" spans="1:8" ht="15" thickBot="1" x14ac:dyDescent="0.35">
      <c r="A17" s="1" t="s">
        <v>17</v>
      </c>
      <c r="C17" s="25" t="s">
        <v>33</v>
      </c>
    </row>
    <row r="18" spans="1:8" ht="15" thickBot="1" x14ac:dyDescent="0.35">
      <c r="A18" s="17" t="s">
        <v>18</v>
      </c>
      <c r="B18" s="18"/>
      <c r="C18" s="22" t="s">
        <v>30</v>
      </c>
      <c r="D18" s="20" t="s">
        <v>46</v>
      </c>
      <c r="E18" s="28" t="s">
        <v>47</v>
      </c>
    </row>
    <row r="19" spans="1:8" x14ac:dyDescent="0.3">
      <c r="A19" s="5" t="s">
        <v>20</v>
      </c>
      <c r="B19" s="3" t="s">
        <v>19</v>
      </c>
      <c r="C19" s="6">
        <v>2.86</v>
      </c>
      <c r="D19" s="29">
        <v>61.83</v>
      </c>
      <c r="E19" s="27">
        <f>C19/D19</f>
        <v>4.6255862849749314E-2</v>
      </c>
    </row>
    <row r="20" spans="1:8" x14ac:dyDescent="0.3">
      <c r="A20" s="5" t="s">
        <v>21</v>
      </c>
      <c r="B20" s="3" t="s">
        <v>22</v>
      </c>
      <c r="C20" s="6">
        <v>1.81</v>
      </c>
      <c r="D20" s="30">
        <v>197.91</v>
      </c>
      <c r="E20" s="11">
        <f>C20/D20</f>
        <v>9.1455712192410697E-3</v>
      </c>
    </row>
    <row r="21" spans="1:8" x14ac:dyDescent="0.3">
      <c r="A21" s="5" t="s">
        <v>23</v>
      </c>
      <c r="B21" s="3" t="s">
        <v>24</v>
      </c>
      <c r="C21" s="6">
        <v>0.22</v>
      </c>
      <c r="D21" s="30">
        <v>287.52999999999997</v>
      </c>
      <c r="E21" s="11">
        <f>C21/D21</f>
        <v>7.6513755086425768E-4</v>
      </c>
      <c r="G21" t="s">
        <v>34</v>
      </c>
      <c r="H21" t="s">
        <v>44</v>
      </c>
    </row>
    <row r="22" spans="1:8" x14ac:dyDescent="0.3">
      <c r="A22" s="5" t="s">
        <v>25</v>
      </c>
      <c r="B22" s="3" t="s">
        <v>26</v>
      </c>
      <c r="C22" s="6">
        <v>0.08</v>
      </c>
      <c r="D22" s="30">
        <v>249.685</v>
      </c>
      <c r="E22" s="11">
        <f>C22/D22</f>
        <v>3.2040370867292788E-4</v>
      </c>
      <c r="G22" t="s">
        <v>34</v>
      </c>
      <c r="H22" t="s">
        <v>45</v>
      </c>
    </row>
    <row r="23" spans="1:8" ht="15" thickBot="1" x14ac:dyDescent="0.35">
      <c r="A23" s="7" t="s">
        <v>27</v>
      </c>
      <c r="B23" s="8" t="s">
        <v>28</v>
      </c>
      <c r="C23" s="9">
        <v>0.02</v>
      </c>
      <c r="D23" s="31">
        <v>179.977</v>
      </c>
      <c r="E23" s="12">
        <f>C23/D23</f>
        <v>1.1112531045633609E-4</v>
      </c>
      <c r="G23" t="s">
        <v>34</v>
      </c>
      <c r="H23" t="s">
        <v>35</v>
      </c>
    </row>
    <row r="25" spans="1:8" ht="15" thickBot="1" x14ac:dyDescent="0.35">
      <c r="A25" s="1" t="s">
        <v>36</v>
      </c>
    </row>
    <row r="26" spans="1:8" ht="15" thickBot="1" x14ac:dyDescent="0.35">
      <c r="A26" s="17" t="s">
        <v>37</v>
      </c>
      <c r="B26" s="18"/>
      <c r="C26" s="19"/>
      <c r="D26" s="20" t="s">
        <v>46</v>
      </c>
      <c r="E26" s="20" t="s">
        <v>47</v>
      </c>
    </row>
    <row r="27" spans="1:8" ht="15" thickBot="1" x14ac:dyDescent="0.35">
      <c r="A27" s="26">
        <v>5.0000000000000001E-3</v>
      </c>
      <c r="B27" s="8" t="s">
        <v>38</v>
      </c>
      <c r="C27" s="9" t="s">
        <v>39</v>
      </c>
      <c r="D27" s="12">
        <f>261.975+18.02</f>
        <v>279.995</v>
      </c>
      <c r="E27" s="12">
        <f>(A29/1000)/D27</f>
        <v>1.7857461740388223E-4</v>
      </c>
    </row>
    <row r="28" spans="1:8" x14ac:dyDescent="0.3">
      <c r="A28" t="s">
        <v>40</v>
      </c>
      <c r="B28" s="2" t="s">
        <v>41</v>
      </c>
    </row>
    <row r="29" spans="1:8" x14ac:dyDescent="0.3">
      <c r="A29">
        <f>0.005*10000</f>
        <v>50</v>
      </c>
      <c r="B29" s="2" t="s">
        <v>42</v>
      </c>
    </row>
    <row r="30" spans="1:8" x14ac:dyDescent="0.3">
      <c r="A30" s="25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01D8-3C83-48F8-8612-158FA50AB069}">
  <dimension ref="A1:N15"/>
  <sheetViews>
    <sheetView topLeftCell="H1" workbookViewId="0">
      <selection activeCell="K5" sqref="K5"/>
    </sheetView>
  </sheetViews>
  <sheetFormatPr defaultRowHeight="14.4" x14ac:dyDescent="0.3"/>
  <cols>
    <col min="1" max="1" width="24.109375" bestFit="1" customWidth="1"/>
    <col min="2" max="2" width="24.109375" customWidth="1"/>
    <col min="3" max="3" width="21.6640625" bestFit="1" customWidth="1"/>
    <col min="4" max="4" width="21.6640625" customWidth="1"/>
    <col min="5" max="5" width="21.6640625" bestFit="1" customWidth="1"/>
    <col min="6" max="6" width="21.6640625" customWidth="1"/>
    <col min="8" max="8" width="10.77734375" bestFit="1" customWidth="1"/>
    <col min="9" max="9" width="10.77734375" customWidth="1"/>
    <col min="10" max="12" width="17.21875" bestFit="1" customWidth="1"/>
    <col min="13" max="13" width="13.88671875" bestFit="1" customWidth="1"/>
  </cols>
  <sheetData>
    <row r="1" spans="1:14" ht="15" thickBot="1" x14ac:dyDescent="0.35">
      <c r="A1" s="17" t="s">
        <v>18</v>
      </c>
      <c r="B1" s="33" t="s">
        <v>46</v>
      </c>
      <c r="C1" s="33" t="s">
        <v>48</v>
      </c>
      <c r="D1" s="33" t="s">
        <v>69</v>
      </c>
      <c r="E1" s="34" t="s">
        <v>49</v>
      </c>
      <c r="F1" s="13"/>
      <c r="H1" s="17" t="s">
        <v>53</v>
      </c>
      <c r="I1" s="33" t="s">
        <v>73</v>
      </c>
      <c r="J1" s="33" t="s">
        <v>63</v>
      </c>
      <c r="K1" s="33" t="s">
        <v>76</v>
      </c>
      <c r="L1" s="59" t="s">
        <v>64</v>
      </c>
      <c r="M1" s="41" t="s">
        <v>72</v>
      </c>
    </row>
    <row r="2" spans="1:14" x14ac:dyDescent="0.3">
      <c r="A2" s="27" t="s">
        <v>2</v>
      </c>
      <c r="B2" s="42">
        <v>136.08600000000001</v>
      </c>
      <c r="C2" s="14">
        <v>1E-3</v>
      </c>
      <c r="D2" s="14">
        <v>0.13608600000000001</v>
      </c>
      <c r="E2" s="6">
        <v>0</v>
      </c>
      <c r="F2" s="14"/>
      <c r="H2" s="55" t="s">
        <v>50</v>
      </c>
      <c r="I2" s="15">
        <v>39.098300000000002</v>
      </c>
      <c r="J2" s="15">
        <f>C3+C2+C7</f>
        <v>6.0000000000000001E-3</v>
      </c>
      <c r="K2" s="60">
        <f>J2*I2*10^3</f>
        <v>234.58980000000003</v>
      </c>
      <c r="L2" s="15">
        <f>E3+E2+E7</f>
        <v>6.0000000000000001E-3</v>
      </c>
      <c r="M2" s="62">
        <f>L2*I2*10^3</f>
        <v>234.58980000000003</v>
      </c>
      <c r="N2" s="1"/>
    </row>
    <row r="3" spans="1:14" x14ac:dyDescent="0.3">
      <c r="A3" s="11" t="s">
        <v>4</v>
      </c>
      <c r="B3" s="39">
        <v>101.1032</v>
      </c>
      <c r="C3" s="14">
        <v>5.0000000000000001E-3</v>
      </c>
      <c r="D3" s="14">
        <v>0.50551599999999997</v>
      </c>
      <c r="E3" s="6">
        <v>0</v>
      </c>
      <c r="F3" s="14"/>
      <c r="H3" s="56" t="s">
        <v>54</v>
      </c>
      <c r="I3" s="14">
        <v>97.971400000000003</v>
      </c>
      <c r="J3" s="14">
        <f>C2+C6</f>
        <v>1E-3</v>
      </c>
      <c r="K3" s="13">
        <f t="shared" ref="K3:K15" si="0">J3*I3*10^3</f>
        <v>97.971400000000003</v>
      </c>
      <c r="L3" s="14">
        <f>E2+E6</f>
        <v>1E-3</v>
      </c>
      <c r="M3" s="63">
        <f t="shared" ref="M3:M15" si="1">L3*I3*10^3</f>
        <v>97.971400000000003</v>
      </c>
      <c r="N3" s="1"/>
    </row>
    <row r="4" spans="1:14" x14ac:dyDescent="0.3">
      <c r="A4" s="11" t="s">
        <v>6</v>
      </c>
      <c r="B4" s="39">
        <v>164.08799999999999</v>
      </c>
      <c r="C4" s="14">
        <v>5.0000000000000001E-3</v>
      </c>
      <c r="D4" s="14">
        <v>0.82043999999999995</v>
      </c>
      <c r="E4" s="6">
        <v>0</v>
      </c>
      <c r="F4" s="14"/>
      <c r="H4" s="56" t="s">
        <v>74</v>
      </c>
      <c r="I4" s="14">
        <v>14.0067</v>
      </c>
      <c r="J4" s="14">
        <f>J5+J6</f>
        <v>1.5000892873087019E-2</v>
      </c>
      <c r="K4" s="13">
        <f t="shared" si="0"/>
        <v>210.11300620546797</v>
      </c>
      <c r="L4" s="14">
        <f>L5+L6</f>
        <v>1.5000892873087019E-2</v>
      </c>
      <c r="M4" s="63">
        <f t="shared" si="1"/>
        <v>210.11300620546797</v>
      </c>
      <c r="N4" s="1"/>
    </row>
    <row r="5" spans="1:14" x14ac:dyDescent="0.3">
      <c r="A5" s="11" t="s">
        <v>8</v>
      </c>
      <c r="B5" s="39">
        <v>120.366</v>
      </c>
      <c r="C5" s="14">
        <v>2E-3</v>
      </c>
      <c r="D5" s="14">
        <v>0.240732</v>
      </c>
      <c r="E5" s="6">
        <v>0</v>
      </c>
      <c r="F5" s="14"/>
      <c r="H5" s="54" t="s">
        <v>55</v>
      </c>
      <c r="I5" s="58">
        <v>62</v>
      </c>
      <c r="J5" s="14">
        <f>2*'Final Concentrations'!C4+'Final Concentrations'!C3+'Final Concentrations'!C7+2*'Final Concentrations'!C8</f>
        <v>1.4999999999999999E-2</v>
      </c>
      <c r="K5" s="13">
        <f t="shared" si="0"/>
        <v>929.99999999999989</v>
      </c>
      <c r="L5" s="14">
        <f>2*'Final Concentrations'!E4+'Final Concentrations'!E3+'Final Concentrations'!E7+2*'Final Concentrations'!E8</f>
        <v>1.4E-2</v>
      </c>
      <c r="M5" s="63">
        <f t="shared" si="1"/>
        <v>868</v>
      </c>
      <c r="N5" s="1"/>
    </row>
    <row r="6" spans="1:14" x14ac:dyDescent="0.3">
      <c r="A6" s="11" t="s">
        <v>13</v>
      </c>
      <c r="B6" s="39">
        <v>115.03</v>
      </c>
      <c r="C6" s="14">
        <v>0</v>
      </c>
      <c r="D6" s="14">
        <v>0</v>
      </c>
      <c r="E6" s="6">
        <v>1E-3</v>
      </c>
      <c r="F6" s="14"/>
      <c r="H6" s="54" t="s">
        <v>75</v>
      </c>
      <c r="I6" s="58">
        <v>17.030999999999999</v>
      </c>
      <c r="J6" s="14">
        <f>C6+C15*5</f>
        <v>8.9287308701941119E-7</v>
      </c>
      <c r="K6" s="13">
        <f t="shared" si="0"/>
        <v>1.520652154502759E-2</v>
      </c>
      <c r="L6" s="14">
        <f>E6+E15*5</f>
        <v>1.0008928730870195E-3</v>
      </c>
      <c r="M6" s="63">
        <f t="shared" si="1"/>
        <v>17.046206521545027</v>
      </c>
      <c r="N6" s="1"/>
    </row>
    <row r="7" spans="1:14" x14ac:dyDescent="0.3">
      <c r="A7" s="11" t="s">
        <v>4</v>
      </c>
      <c r="B7" s="39">
        <v>101.1032</v>
      </c>
      <c r="C7" s="14">
        <v>0</v>
      </c>
      <c r="D7" s="14">
        <v>0</v>
      </c>
      <c r="E7" s="6">
        <v>6.0000000000000001E-3</v>
      </c>
      <c r="F7" s="14"/>
      <c r="H7" s="56" t="s">
        <v>51</v>
      </c>
      <c r="I7" s="58">
        <v>40.078000000000003</v>
      </c>
      <c r="J7" s="14">
        <f>C4+C8</f>
        <v>5.0000000000000001E-3</v>
      </c>
      <c r="K7" s="13">
        <f t="shared" si="0"/>
        <v>200.39000000000001</v>
      </c>
      <c r="L7" s="14">
        <f>E4+E8</f>
        <v>4.0000000000000001E-3</v>
      </c>
      <c r="M7" s="63">
        <f t="shared" si="1"/>
        <v>160.31200000000001</v>
      </c>
      <c r="N7" s="1"/>
    </row>
    <row r="8" spans="1:14" x14ac:dyDescent="0.3">
      <c r="A8" s="11" t="s">
        <v>6</v>
      </c>
      <c r="B8" s="39">
        <v>164.08799999999999</v>
      </c>
      <c r="C8" s="14">
        <v>0</v>
      </c>
      <c r="D8" s="14">
        <v>0</v>
      </c>
      <c r="E8" s="6">
        <v>4.0000000000000001E-3</v>
      </c>
      <c r="F8" s="14"/>
      <c r="H8" s="56" t="s">
        <v>52</v>
      </c>
      <c r="I8" s="58">
        <v>24.305</v>
      </c>
      <c r="J8" s="14">
        <f>C5+C9</f>
        <v>2E-3</v>
      </c>
      <c r="K8" s="13">
        <f t="shared" si="0"/>
        <v>48.61</v>
      </c>
      <c r="L8" s="14">
        <f>E5+E9</f>
        <v>2E-3</v>
      </c>
      <c r="M8" s="63">
        <f t="shared" si="1"/>
        <v>48.61</v>
      </c>
      <c r="N8" s="1"/>
    </row>
    <row r="9" spans="1:14" x14ac:dyDescent="0.3">
      <c r="A9" s="11" t="s">
        <v>8</v>
      </c>
      <c r="B9" s="39">
        <v>120.366</v>
      </c>
      <c r="C9" s="14">
        <v>0</v>
      </c>
      <c r="D9" s="14">
        <v>0</v>
      </c>
      <c r="E9" s="6">
        <v>2E-3</v>
      </c>
      <c r="F9" s="14"/>
      <c r="H9" s="56" t="s">
        <v>56</v>
      </c>
      <c r="I9" s="58">
        <v>61.83</v>
      </c>
      <c r="J9" s="14">
        <f t="shared" ref="J9:J14" si="2">C10</f>
        <v>4.6255862849749316E-5</v>
      </c>
      <c r="K9" s="13">
        <f t="shared" si="0"/>
        <v>2.8600000000000003</v>
      </c>
      <c r="L9" s="14">
        <f t="shared" ref="L9:L14" si="3">E10</f>
        <v>4.6255862849749316E-5</v>
      </c>
      <c r="M9" s="63">
        <f t="shared" si="1"/>
        <v>2.8600000000000003</v>
      </c>
      <c r="N9" s="1"/>
    </row>
    <row r="10" spans="1:14" x14ac:dyDescent="0.3">
      <c r="A10" s="11" t="s">
        <v>19</v>
      </c>
      <c r="B10" s="39">
        <v>61.83</v>
      </c>
      <c r="C10" s="14">
        <v>4.6255862849749316E-5</v>
      </c>
      <c r="D10" s="14">
        <v>2.8600000000000001E-3</v>
      </c>
      <c r="E10" s="6">
        <v>4.6255862849749316E-5</v>
      </c>
      <c r="F10" s="14"/>
      <c r="H10" s="56" t="s">
        <v>57</v>
      </c>
      <c r="I10" s="58">
        <v>54.938043999999998</v>
      </c>
      <c r="J10" s="14">
        <f t="shared" si="2"/>
        <v>9.1455712192410699E-6</v>
      </c>
      <c r="K10" s="13">
        <f t="shared" si="0"/>
        <v>0.50243979404779959</v>
      </c>
      <c r="L10" s="14">
        <f t="shared" si="3"/>
        <v>9.1455712192410699E-6</v>
      </c>
      <c r="M10" s="63">
        <f t="shared" si="1"/>
        <v>0.50243979404779959</v>
      </c>
      <c r="N10" s="1"/>
    </row>
    <row r="11" spans="1:14" x14ac:dyDescent="0.3">
      <c r="A11" s="11" t="s">
        <v>22</v>
      </c>
      <c r="B11" s="39">
        <v>197.91</v>
      </c>
      <c r="C11" s="14">
        <v>9.1455712192410699E-6</v>
      </c>
      <c r="D11" s="14">
        <v>1.8100000000000002E-3</v>
      </c>
      <c r="E11" s="6">
        <v>9.1455712192410699E-6</v>
      </c>
      <c r="F11" s="14"/>
      <c r="H11" s="56" t="s">
        <v>58</v>
      </c>
      <c r="I11" s="58">
        <v>65.38</v>
      </c>
      <c r="J11" s="14">
        <f t="shared" si="2"/>
        <v>7.6513755086425772E-7</v>
      </c>
      <c r="K11" s="13">
        <f t="shared" si="0"/>
        <v>5.0024693075505167E-2</v>
      </c>
      <c r="L11" s="14">
        <f t="shared" si="3"/>
        <v>7.6513755086425772E-7</v>
      </c>
      <c r="M11" s="63">
        <f t="shared" si="1"/>
        <v>5.0024693075505167E-2</v>
      </c>
      <c r="N11" s="1"/>
    </row>
    <row r="12" spans="1:14" x14ac:dyDescent="0.3">
      <c r="A12" s="11" t="s">
        <v>24</v>
      </c>
      <c r="B12" s="39">
        <v>287.52999999999997</v>
      </c>
      <c r="C12" s="14">
        <v>7.6513755086425772E-7</v>
      </c>
      <c r="D12" s="14">
        <v>2.2000000000000001E-4</v>
      </c>
      <c r="E12" s="6">
        <v>7.6513755086425772E-7</v>
      </c>
      <c r="F12" s="14"/>
      <c r="H12" s="56" t="s">
        <v>59</v>
      </c>
      <c r="I12" s="58">
        <v>63.545999999999999</v>
      </c>
      <c r="J12" s="14">
        <f t="shared" si="2"/>
        <v>3.2040370867292785E-7</v>
      </c>
      <c r="K12" s="13">
        <f t="shared" si="0"/>
        <v>2.0360374071329873E-2</v>
      </c>
      <c r="L12" s="14">
        <f t="shared" si="3"/>
        <v>3.2040370867292785E-7</v>
      </c>
      <c r="M12" s="63">
        <f t="shared" si="1"/>
        <v>2.0360374071329873E-2</v>
      </c>
      <c r="N12" s="1"/>
    </row>
    <row r="13" spans="1:14" x14ac:dyDescent="0.3">
      <c r="A13" s="11" t="s">
        <v>26</v>
      </c>
      <c r="B13" s="39">
        <v>249.685</v>
      </c>
      <c r="C13" s="14">
        <v>3.2040370867292785E-7</v>
      </c>
      <c r="D13" s="14">
        <v>7.9999999999999993E-5</v>
      </c>
      <c r="E13" s="6">
        <v>3.2040370867292785E-7</v>
      </c>
      <c r="F13" s="14"/>
      <c r="H13" s="56" t="s">
        <v>60</v>
      </c>
      <c r="I13" s="58">
        <v>95.94</v>
      </c>
      <c r="J13" s="14">
        <f t="shared" si="2"/>
        <v>1.1112531045633609E-7</v>
      </c>
      <c r="K13" s="13">
        <f t="shared" si="0"/>
        <v>1.0661362285180885E-2</v>
      </c>
      <c r="L13" s="14">
        <f t="shared" si="3"/>
        <v>1.1112531045633609E-7</v>
      </c>
      <c r="M13" s="63">
        <f t="shared" si="1"/>
        <v>1.0661362285180885E-2</v>
      </c>
      <c r="N13" s="1"/>
    </row>
    <row r="14" spans="1:14" x14ac:dyDescent="0.3">
      <c r="A14" s="11" t="s">
        <v>28</v>
      </c>
      <c r="B14" s="39">
        <v>179.977</v>
      </c>
      <c r="C14" s="14">
        <v>1.1112531045633609E-7</v>
      </c>
      <c r="D14" s="14">
        <v>2.0000000000000002E-5</v>
      </c>
      <c r="E14" s="6">
        <v>1.1112531045633609E-7</v>
      </c>
      <c r="F14" s="14"/>
      <c r="H14" s="56" t="s">
        <v>61</v>
      </c>
      <c r="I14" s="58">
        <v>55.844999999999999</v>
      </c>
      <c r="J14" s="14">
        <f t="shared" si="2"/>
        <v>1.7857461740388223E-7</v>
      </c>
      <c r="K14" s="13">
        <f t="shared" si="0"/>
        <v>9.9724995089198031E-3</v>
      </c>
      <c r="L14" s="14">
        <f t="shared" si="3"/>
        <v>1.7857461740388223E-7</v>
      </c>
      <c r="M14" s="63">
        <f t="shared" si="1"/>
        <v>9.9724995089198031E-3</v>
      </c>
      <c r="N14" s="1"/>
    </row>
    <row r="15" spans="1:14" ht="15" thickBot="1" x14ac:dyDescent="0.35">
      <c r="A15" s="12" t="s">
        <v>38</v>
      </c>
      <c r="B15" s="40">
        <f>261.975+18.02</f>
        <v>279.995</v>
      </c>
      <c r="C15" s="16">
        <v>1.7857461740388223E-7</v>
      </c>
      <c r="D15" s="16">
        <v>5.0000000000000009E-5</v>
      </c>
      <c r="E15" s="9">
        <v>1.7857461740388223E-7</v>
      </c>
      <c r="F15" s="14"/>
      <c r="H15" s="57" t="s">
        <v>62</v>
      </c>
      <c r="I15" s="16">
        <v>96.06</v>
      </c>
      <c r="J15" s="16">
        <f>C5+C9+C12+C13</f>
        <v>2.0010855412595373E-3</v>
      </c>
      <c r="K15" s="61">
        <f t="shared" si="0"/>
        <v>192.22427709339115</v>
      </c>
      <c r="L15" s="16">
        <f>E5+E9+E12+E13</f>
        <v>2.0010855412595373E-3</v>
      </c>
      <c r="M15" s="64">
        <f t="shared" si="1"/>
        <v>192.22427709339115</v>
      </c>
      <c r="N1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7B67-C238-4D14-ADC0-3DEADA786E79}">
  <dimension ref="A1:I17"/>
  <sheetViews>
    <sheetView tabSelected="1" topLeftCell="E1" workbookViewId="0">
      <selection activeCell="C17" sqref="C17"/>
    </sheetView>
  </sheetViews>
  <sheetFormatPr defaultRowHeight="14.4" x14ac:dyDescent="0.3"/>
  <cols>
    <col min="1" max="1" width="24.109375" bestFit="1" customWidth="1"/>
    <col min="2" max="2" width="24.109375" customWidth="1"/>
    <col min="3" max="3" width="19.33203125" bestFit="1" customWidth="1"/>
    <col min="4" max="4" width="21.6640625" bestFit="1" customWidth="1"/>
    <col min="5" max="6" width="21.6640625" customWidth="1"/>
    <col min="7" max="7" width="21.6640625" bestFit="1" customWidth="1"/>
    <col min="8" max="8" width="21.6640625" customWidth="1"/>
    <col min="9" max="9" width="12.6640625" bestFit="1" customWidth="1"/>
  </cols>
  <sheetData>
    <row r="1" spans="1:9" ht="15" thickBot="1" x14ac:dyDescent="0.35">
      <c r="A1" s="17" t="s">
        <v>18</v>
      </c>
      <c r="B1" s="33" t="s">
        <v>46</v>
      </c>
      <c r="C1" s="33" t="s">
        <v>65</v>
      </c>
      <c r="D1" s="33" t="s">
        <v>48</v>
      </c>
      <c r="E1" s="20" t="s">
        <v>69</v>
      </c>
      <c r="F1" s="33" t="s">
        <v>67</v>
      </c>
      <c r="G1" s="33" t="s">
        <v>49</v>
      </c>
      <c r="H1" s="10" t="s">
        <v>70</v>
      </c>
      <c r="I1" s="41" t="s">
        <v>68</v>
      </c>
    </row>
    <row r="2" spans="1:9" x14ac:dyDescent="0.3">
      <c r="A2" s="35" t="s">
        <v>2</v>
      </c>
      <c r="B2" s="42">
        <v>136.08600000000001</v>
      </c>
      <c r="C2" s="43">
        <f>25.49/453.592</f>
        <v>5.6195876470484483E-2</v>
      </c>
      <c r="D2" s="15">
        <v>1E-3</v>
      </c>
      <c r="E2" s="14">
        <f>D2*B2</f>
        <v>0.13608600000000001</v>
      </c>
      <c r="F2" s="15">
        <f>D2*B2*C2</f>
        <v>7.6474720453623525E-3</v>
      </c>
      <c r="G2" s="15">
        <v>0</v>
      </c>
      <c r="H2" s="14">
        <f>G2*B2</f>
        <v>0</v>
      </c>
      <c r="I2" s="4">
        <f>G2*C2*B2</f>
        <v>0</v>
      </c>
    </row>
    <row r="3" spans="1:9" x14ac:dyDescent="0.3">
      <c r="A3" s="5" t="s">
        <v>4</v>
      </c>
      <c r="B3" s="39">
        <v>101.1032</v>
      </c>
      <c r="C3" s="36">
        <f>17.99/453.592</f>
        <v>3.9661193319106156E-2</v>
      </c>
      <c r="D3" s="14">
        <v>5.0000000000000001E-3</v>
      </c>
      <c r="E3" s="14">
        <f t="shared" ref="E3:E15" si="0">D3*B3</f>
        <v>0.50551599999999997</v>
      </c>
      <c r="F3" s="14">
        <f>D3*B3*C3</f>
        <v>2.0049367801901266E-2</v>
      </c>
      <c r="G3" s="14">
        <v>0</v>
      </c>
      <c r="H3" s="14">
        <f t="shared" ref="H3:H15" si="1">G3*B3</f>
        <v>0</v>
      </c>
      <c r="I3" s="6">
        <f>G3*C3*B3</f>
        <v>0</v>
      </c>
    </row>
    <row r="4" spans="1:9" x14ac:dyDescent="0.3">
      <c r="A4" s="5" t="s">
        <v>6</v>
      </c>
      <c r="B4" s="39">
        <v>164.08799999999999</v>
      </c>
      <c r="C4" s="36">
        <f>19.99/453.592</f>
        <v>4.4070442159473713E-2</v>
      </c>
      <c r="D4" s="14">
        <v>5.0000000000000001E-3</v>
      </c>
      <c r="E4" s="14">
        <f t="shared" si="0"/>
        <v>0.82043999999999995</v>
      </c>
      <c r="F4" s="14">
        <f>D4*B4*C4</f>
        <v>3.6157153565318609E-2</v>
      </c>
      <c r="G4" s="14">
        <v>0</v>
      </c>
      <c r="H4" s="14">
        <f t="shared" si="1"/>
        <v>0</v>
      </c>
      <c r="I4" s="6">
        <f>G4*C4*B4</f>
        <v>0</v>
      </c>
    </row>
    <row r="5" spans="1:9" x14ac:dyDescent="0.3">
      <c r="A5" s="5" t="s">
        <v>8</v>
      </c>
      <c r="B5" s="39">
        <v>120.366</v>
      </c>
      <c r="C5" s="36">
        <f>9.99/453.592</f>
        <v>2.2024197957635938E-2</v>
      </c>
      <c r="D5" s="14">
        <v>2E-3</v>
      </c>
      <c r="E5" s="14">
        <f t="shared" si="0"/>
        <v>0.240732</v>
      </c>
      <c r="F5" s="14">
        <f>D5*B5*C5</f>
        <v>5.3019292227376143E-3</v>
      </c>
      <c r="G5" s="14">
        <v>0</v>
      </c>
      <c r="H5" s="14">
        <f t="shared" si="1"/>
        <v>0</v>
      </c>
      <c r="I5" s="6">
        <f>G5*C5*B5</f>
        <v>0</v>
      </c>
    </row>
    <row r="6" spans="1:9" x14ac:dyDescent="0.3">
      <c r="A6" s="5" t="s">
        <v>13</v>
      </c>
      <c r="B6" s="39">
        <v>115.03</v>
      </c>
      <c r="C6" s="36">
        <f>21.99/500</f>
        <v>4.3979999999999998E-2</v>
      </c>
      <c r="D6" s="14">
        <v>0</v>
      </c>
      <c r="E6" s="14">
        <f t="shared" si="0"/>
        <v>0</v>
      </c>
      <c r="F6" s="14">
        <f>D6*B6*C6</f>
        <v>0</v>
      </c>
      <c r="G6" s="14">
        <v>1E-3</v>
      </c>
      <c r="H6" s="14">
        <f t="shared" si="1"/>
        <v>0.11503000000000001</v>
      </c>
      <c r="I6" s="6">
        <f>G6*C6*B6</f>
        <v>5.0590194000000007E-3</v>
      </c>
    </row>
    <row r="7" spans="1:9" x14ac:dyDescent="0.3">
      <c r="A7" s="5" t="s">
        <v>4</v>
      </c>
      <c r="B7" s="39">
        <v>101.1032</v>
      </c>
      <c r="C7" s="36">
        <f>17.99/453.592</f>
        <v>3.9661193319106156E-2</v>
      </c>
      <c r="D7" s="14">
        <v>0</v>
      </c>
      <c r="E7" s="14">
        <f t="shared" si="0"/>
        <v>0</v>
      </c>
      <c r="F7" s="14">
        <v>0</v>
      </c>
      <c r="G7" s="14">
        <v>6.0000000000000001E-3</v>
      </c>
      <c r="H7" s="14">
        <f t="shared" si="1"/>
        <v>0.60661920000000003</v>
      </c>
      <c r="I7" s="6">
        <f>0.006*C7*B7</f>
        <v>2.4059241362281519E-2</v>
      </c>
    </row>
    <row r="8" spans="1:9" x14ac:dyDescent="0.3">
      <c r="A8" s="5" t="s">
        <v>6</v>
      </c>
      <c r="B8" s="39">
        <v>164.08799999999999</v>
      </c>
      <c r="C8" s="36">
        <v>4.4070442159473713E-2</v>
      </c>
      <c r="D8" s="14">
        <v>0</v>
      </c>
      <c r="E8" s="14">
        <f t="shared" si="0"/>
        <v>0</v>
      </c>
      <c r="F8" s="14">
        <f t="shared" ref="F8:F15" si="2">D8*B8*C8</f>
        <v>0</v>
      </c>
      <c r="G8" s="14">
        <v>4.0000000000000001E-3</v>
      </c>
      <c r="H8" s="14">
        <f t="shared" si="1"/>
        <v>0.65635199999999994</v>
      </c>
      <c r="I8" s="6">
        <f t="shared" ref="I8:I15" si="3">G8*C8*B8</f>
        <v>2.8925722852254893E-2</v>
      </c>
    </row>
    <row r="9" spans="1:9" x14ac:dyDescent="0.3">
      <c r="A9" s="5" t="s">
        <v>8</v>
      </c>
      <c r="B9" s="39">
        <v>120.366</v>
      </c>
      <c r="C9" s="36">
        <v>2.2024197957635938E-2</v>
      </c>
      <c r="D9" s="14">
        <v>0</v>
      </c>
      <c r="E9" s="14">
        <f t="shared" si="0"/>
        <v>0</v>
      </c>
      <c r="F9" s="14">
        <f t="shared" si="2"/>
        <v>0</v>
      </c>
      <c r="G9" s="14">
        <v>2E-3</v>
      </c>
      <c r="H9" s="14">
        <f t="shared" si="1"/>
        <v>0.240732</v>
      </c>
      <c r="I9" s="6">
        <f t="shared" si="3"/>
        <v>5.3019292227376143E-3</v>
      </c>
    </row>
    <row r="10" spans="1:9" x14ac:dyDescent="0.3">
      <c r="A10" s="5" t="s">
        <v>19</v>
      </c>
      <c r="B10" s="39">
        <v>61.83</v>
      </c>
      <c r="C10" s="36">
        <f>11.99/453.592</f>
        <v>2.6433446798003492E-2</v>
      </c>
      <c r="D10" s="14">
        <v>4.6255862849749316E-5</v>
      </c>
      <c r="E10" s="14">
        <f t="shared" si="0"/>
        <v>2.8600000000000001E-3</v>
      </c>
      <c r="F10" s="14">
        <f t="shared" si="2"/>
        <v>7.5599657842289993E-5</v>
      </c>
      <c r="G10" s="14">
        <v>4.6255862849749316E-5</v>
      </c>
      <c r="H10" s="14">
        <f t="shared" si="1"/>
        <v>2.8600000000000001E-3</v>
      </c>
      <c r="I10" s="6">
        <f t="shared" si="3"/>
        <v>7.5599657842289993E-5</v>
      </c>
    </row>
    <row r="11" spans="1:9" x14ac:dyDescent="0.3">
      <c r="A11" s="5" t="s">
        <v>22</v>
      </c>
      <c r="B11" s="39">
        <v>197.91</v>
      </c>
      <c r="C11" s="38">
        <f>29.99/453.592</f>
        <v>6.6116686361311489E-2</v>
      </c>
      <c r="D11" s="14">
        <v>9.1455712192410699E-6</v>
      </c>
      <c r="E11" s="14">
        <f t="shared" si="0"/>
        <v>1.8100000000000002E-3</v>
      </c>
      <c r="F11" s="14">
        <f t="shared" si="2"/>
        <v>1.196712023139738E-4</v>
      </c>
      <c r="G11" s="14">
        <v>9.1455712192410699E-6</v>
      </c>
      <c r="H11" s="14">
        <f t="shared" si="1"/>
        <v>1.8100000000000002E-3</v>
      </c>
      <c r="I11" s="6">
        <f t="shared" si="3"/>
        <v>1.196712023139738E-4</v>
      </c>
    </row>
    <row r="12" spans="1:9" x14ac:dyDescent="0.3">
      <c r="A12" s="5" t="s">
        <v>24</v>
      </c>
      <c r="B12" s="39">
        <v>287.52999999999997</v>
      </c>
      <c r="C12" s="36">
        <f>17.99/453.592</f>
        <v>3.9661193319106156E-2</v>
      </c>
      <c r="D12" s="14">
        <v>7.6513755086425772E-7</v>
      </c>
      <c r="E12" s="14">
        <f t="shared" si="0"/>
        <v>2.2000000000000001E-4</v>
      </c>
      <c r="F12" s="14">
        <f t="shared" si="2"/>
        <v>8.7254625302033539E-6</v>
      </c>
      <c r="G12" s="14">
        <v>7.6513755086425772E-7</v>
      </c>
      <c r="H12" s="14">
        <f t="shared" si="1"/>
        <v>2.2000000000000001E-4</v>
      </c>
      <c r="I12" s="6">
        <f t="shared" si="3"/>
        <v>8.7254625302033539E-6</v>
      </c>
    </row>
    <row r="13" spans="1:9" x14ac:dyDescent="0.3">
      <c r="A13" s="5" t="s">
        <v>26</v>
      </c>
      <c r="B13" s="39">
        <v>249.685</v>
      </c>
      <c r="C13" s="38">
        <f>14.99/453.592</f>
        <v>3.3047320058554826E-2</v>
      </c>
      <c r="D13" s="14">
        <v>3.2040370867292785E-7</v>
      </c>
      <c r="E13" s="14">
        <f t="shared" si="0"/>
        <v>7.9999999999999993E-5</v>
      </c>
      <c r="F13" s="14">
        <f t="shared" si="2"/>
        <v>2.643785604684386E-6</v>
      </c>
      <c r="G13" s="14">
        <v>3.2040370867292785E-7</v>
      </c>
      <c r="H13" s="14">
        <f t="shared" si="1"/>
        <v>7.9999999999999993E-5</v>
      </c>
      <c r="I13" s="6">
        <f t="shared" si="3"/>
        <v>2.643785604684386E-6</v>
      </c>
    </row>
    <row r="14" spans="1:9" x14ac:dyDescent="0.3">
      <c r="A14" s="5" t="s">
        <v>28</v>
      </c>
      <c r="B14" s="39">
        <v>179.977</v>
      </c>
      <c r="C14" s="38">
        <f>10.49/28.3495</f>
        <v>0.37002416268364524</v>
      </c>
      <c r="D14" s="14">
        <v>1.1112531045633609E-7</v>
      </c>
      <c r="E14" s="14">
        <f t="shared" si="0"/>
        <v>2.0000000000000002E-5</v>
      </c>
      <c r="F14" s="14">
        <f t="shared" si="2"/>
        <v>7.4004832536729057E-6</v>
      </c>
      <c r="G14" s="14">
        <v>1.1112531045633609E-7</v>
      </c>
      <c r="H14" s="14">
        <f t="shared" si="1"/>
        <v>2.0000000000000002E-5</v>
      </c>
      <c r="I14" s="6">
        <f t="shared" si="3"/>
        <v>7.4004832536729048E-6</v>
      </c>
    </row>
    <row r="15" spans="1:9" ht="15" thickBot="1" x14ac:dyDescent="0.35">
      <c r="A15" s="7" t="s">
        <v>38</v>
      </c>
      <c r="B15" s="40">
        <f>261.975+18.02</f>
        <v>279.995</v>
      </c>
      <c r="C15" s="37">
        <f>24.99/113.398</f>
        <v>0.2203742570415704</v>
      </c>
      <c r="D15" s="16">
        <v>1.7857461740388223E-7</v>
      </c>
      <c r="E15" s="16">
        <f t="shared" si="0"/>
        <v>5.0000000000000009E-5</v>
      </c>
      <c r="F15" s="16">
        <f t="shared" si="2"/>
        <v>1.1018712852078522E-5</v>
      </c>
      <c r="G15" s="16">
        <v>1.7857461740388223E-7</v>
      </c>
      <c r="H15" s="16">
        <f t="shared" si="1"/>
        <v>5.0000000000000009E-5</v>
      </c>
      <c r="I15" s="9">
        <f t="shared" si="3"/>
        <v>1.1018712852078522E-5</v>
      </c>
    </row>
    <row r="16" spans="1:9" x14ac:dyDescent="0.3">
      <c r="C16" t="s">
        <v>66</v>
      </c>
    </row>
    <row r="17" spans="6:9" x14ac:dyDescent="0.3">
      <c r="F17">
        <f>SUM(F2:F15)</f>
        <v>6.9380981939716771E-2</v>
      </c>
      <c r="I17">
        <f>SUM(I2:I15)</f>
        <v>6.3570972141670956E-2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Nutrient Composition</vt:lpstr>
      <vt:lpstr>Final Concentrations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Breuhaus-Alvarez</dc:creator>
  <cp:lastModifiedBy>Andrew Breuhaus-Alvarez</cp:lastModifiedBy>
  <dcterms:created xsi:type="dcterms:W3CDTF">2018-06-26T19:26:32Z</dcterms:created>
  <dcterms:modified xsi:type="dcterms:W3CDTF">2018-07-03T22:36:46Z</dcterms:modified>
</cp:coreProperties>
</file>