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09"/>
  <workbookPr defaultThemeVersion="166925"/>
  <mc:AlternateContent xmlns:mc="http://schemas.openxmlformats.org/markup-compatibility/2006">
    <mc:Choice Requires="x15">
      <x15ac:absPath xmlns:x15ac="http://schemas.microsoft.com/office/spreadsheetml/2010/11/ac" url="/Users/michelacontursi/Desktop/"/>
    </mc:Choice>
  </mc:AlternateContent>
  <xr:revisionPtr revIDLastSave="3383" documentId="8_{780D105F-79C6-A744-BB6F-4F82E06227C5}" xr6:coauthVersionLast="47" xr6:coauthVersionMax="47" xr10:uidLastSave="{7A48A648-983E-479D-B70D-F9BEAE89D72D}"/>
  <bookViews>
    <workbookView xWindow="280" yWindow="780" windowWidth="33740" windowHeight="20220" firstSheet="4" activeTab="4" xr2:uid="{A6E1103A-A72A-5746-86EA-62A35C491C09}"/>
  </bookViews>
  <sheets>
    <sheet name="2023_budget" sheetId="1" r:id="rId1"/>
    <sheet name="2024_budgeted" sheetId="3" r:id="rId2"/>
    <sheet name="updated budget to send ppl" sheetId="5" r:id="rId3"/>
    <sheet name="plenary expense breakdown" sheetId="6" r:id="rId4"/>
    <sheet name="2024_FINAL" sheetId="7"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131" i="7" l="1"/>
  <c r="G215" i="7"/>
  <c r="G204" i="7"/>
  <c r="G198" i="7"/>
  <c r="G196" i="7"/>
  <c r="G194" i="7"/>
  <c r="G190" i="7"/>
  <c r="G217" i="7" s="1"/>
  <c r="G219" i="7" s="1"/>
  <c r="G169" i="7"/>
  <c r="G154" i="7"/>
  <c r="G155" i="7"/>
  <c r="G124" i="7"/>
  <c r="E124" i="7"/>
  <c r="G86" i="7"/>
  <c r="G72" i="7"/>
  <c r="G92" i="7"/>
  <c r="G84" i="7"/>
  <c r="G17" i="7"/>
  <c r="G43" i="7"/>
  <c r="G174" i="7"/>
  <c r="G172" i="7"/>
  <c r="G68" i="7"/>
  <c r="G101" i="7"/>
  <c r="G102" i="7"/>
  <c r="G95" i="7"/>
  <c r="G81" i="7"/>
  <c r="G82" i="7"/>
  <c r="G77" i="7"/>
  <c r="G75" i="7"/>
  <c r="G64" i="7"/>
  <c r="G63" i="7"/>
  <c r="G73" i="7"/>
  <c r="G150" i="7"/>
  <c r="G149" i="7"/>
  <c r="G67" i="7"/>
  <c r="G66" i="7" s="1"/>
  <c r="P72" i="7"/>
  <c r="G145" i="7"/>
  <c r="P69" i="7"/>
  <c r="P70" i="7"/>
  <c r="P71" i="7"/>
  <c r="P68" i="7"/>
  <c r="P67" i="7"/>
  <c r="E137" i="7"/>
  <c r="E136" i="7"/>
  <c r="G156" i="7"/>
  <c r="G157" i="7"/>
  <c r="E128" i="7"/>
  <c r="G128" i="7"/>
  <c r="G146" i="7"/>
  <c r="G148" i="7"/>
  <c r="G147" i="7"/>
  <c r="A44" i="1"/>
  <c r="F17" i="7"/>
  <c r="F12" i="7"/>
  <c r="E140" i="7"/>
  <c r="E126" i="7"/>
  <c r="G126" i="7" s="1"/>
  <c r="J83" i="1"/>
  <c r="G56" i="7"/>
  <c r="E125" i="7"/>
  <c r="E123" i="7"/>
  <c r="E122" i="7"/>
  <c r="G123" i="7"/>
  <c r="G125" i="7"/>
  <c r="G122" i="7"/>
  <c r="G116" i="7"/>
  <c r="G183" i="7"/>
  <c r="G182" i="7"/>
  <c r="G181" i="7"/>
  <c r="G140" i="7"/>
  <c r="E139" i="7"/>
  <c r="G139" i="7" s="1"/>
  <c r="E138" i="7"/>
  <c r="G138" i="7" s="1"/>
  <c r="G137" i="7"/>
  <c r="G136" i="7"/>
  <c r="G141" i="7" s="1"/>
  <c r="G118" i="7"/>
  <c r="G58" i="7"/>
  <c r="G57" i="7"/>
  <c r="G27" i="7"/>
  <c r="G11" i="7"/>
  <c r="G10" i="7"/>
  <c r="G9" i="7"/>
  <c r="G12" i="7" s="1"/>
  <c r="G19" i="7" s="1"/>
  <c r="G49" i="7" s="1"/>
  <c r="G156" i="3"/>
  <c r="G157" i="3"/>
  <c r="G158" i="3"/>
  <c r="G80" i="5"/>
  <c r="G79" i="5"/>
  <c r="G105" i="3"/>
  <c r="E35" i="5"/>
  <c r="E34" i="5"/>
  <c r="E78" i="5"/>
  <c r="G78" i="5" s="1"/>
  <c r="E77" i="5"/>
  <c r="G77" i="5" s="1"/>
  <c r="E76" i="5"/>
  <c r="G76" i="5" s="1"/>
  <c r="E75" i="5"/>
  <c r="G75" i="5" s="1"/>
  <c r="G94" i="3"/>
  <c r="G93" i="3"/>
  <c r="G92" i="3"/>
  <c r="G91" i="3"/>
  <c r="G90" i="3"/>
  <c r="G62" i="3"/>
  <c r="G61" i="3"/>
  <c r="G60" i="3"/>
  <c r="G59" i="3"/>
  <c r="G58" i="3"/>
  <c r="G160" i="3"/>
  <c r="G153" i="3"/>
  <c r="G152" i="3"/>
  <c r="G151" i="3"/>
  <c r="G144" i="3"/>
  <c r="G143" i="3"/>
  <c r="G142" i="3"/>
  <c r="G161" i="3" s="1"/>
  <c r="G118" i="5"/>
  <c r="G115" i="5"/>
  <c r="G116" i="5"/>
  <c r="G114" i="5"/>
  <c r="G101" i="5"/>
  <c r="G102" i="5"/>
  <c r="G100" i="5"/>
  <c r="G110" i="5"/>
  <c r="G111" i="5"/>
  <c r="G109" i="5"/>
  <c r="D9" i="6"/>
  <c r="D2" i="6"/>
  <c r="D18" i="6"/>
  <c r="D11" i="6"/>
  <c r="D4" i="6"/>
  <c r="D3" i="6"/>
  <c r="D10" i="6"/>
  <c r="D17" i="6"/>
  <c r="D16" i="6"/>
  <c r="D23" i="6" s="1"/>
  <c r="G78" i="3"/>
  <c r="G74" i="3"/>
  <c r="G75" i="3"/>
  <c r="G76" i="3"/>
  <c r="G77" i="3"/>
  <c r="G84" i="3"/>
  <c r="G85" i="3"/>
  <c r="G86" i="3"/>
  <c r="G87" i="3"/>
  <c r="G68" i="3"/>
  <c r="G69" i="3"/>
  <c r="G70" i="3"/>
  <c r="G71" i="3"/>
  <c r="G171" i="3"/>
  <c r="F13" i="5"/>
  <c r="G129" i="5"/>
  <c r="G97" i="5"/>
  <c r="G83" i="5"/>
  <c r="G87" i="5" s="1"/>
  <c r="G63" i="5"/>
  <c r="G65" i="5" s="1"/>
  <c r="G38" i="5"/>
  <c r="G37" i="5"/>
  <c r="G36" i="5"/>
  <c r="G21" i="5"/>
  <c r="G12" i="5"/>
  <c r="G11" i="5"/>
  <c r="G10" i="5"/>
  <c r="G9" i="5"/>
  <c r="G13" i="5" s="1"/>
  <c r="G121" i="3"/>
  <c r="G106" i="3"/>
  <c r="G25" i="3"/>
  <c r="G104" i="3"/>
  <c r="G107" i="3" s="1"/>
  <c r="G100" i="3"/>
  <c r="G102" i="3" s="1"/>
  <c r="G139" i="3"/>
  <c r="F17" i="3"/>
  <c r="G50" i="3"/>
  <c r="G51" i="3"/>
  <c r="G52" i="3"/>
  <c r="G53" i="3"/>
  <c r="G36" i="3"/>
  <c r="G49" i="3"/>
  <c r="G12" i="3"/>
  <c r="G11" i="3"/>
  <c r="G10" i="3"/>
  <c r="G9" i="3"/>
  <c r="C44" i="1"/>
  <c r="C20" i="1"/>
  <c r="D20" i="1"/>
  <c r="C28" i="1"/>
  <c r="D28" i="1"/>
  <c r="C35" i="1"/>
  <c r="C36" i="1"/>
  <c r="C37" i="1"/>
  <c r="C38" i="1"/>
  <c r="C39" i="1"/>
  <c r="C40" i="1"/>
  <c r="C41" i="1"/>
  <c r="C52" i="1"/>
  <c r="D44" i="1"/>
  <c r="C55" i="1"/>
  <c r="C59" i="1" s="1"/>
  <c r="D59" i="1"/>
  <c r="E63" i="1"/>
  <c r="E64" i="1" s="1"/>
  <c r="C64" i="1"/>
  <c r="C65" i="1"/>
  <c r="D67" i="1"/>
  <c r="C69" i="1"/>
  <c r="J69" i="1"/>
  <c r="C70" i="1"/>
  <c r="J70" i="1"/>
  <c r="C71" i="1"/>
  <c r="C72" i="1"/>
  <c r="C73" i="1"/>
  <c r="J73" i="1"/>
  <c r="D74" i="1"/>
  <c r="J74" i="1"/>
  <c r="J75" i="1"/>
  <c r="J76" i="1"/>
  <c r="J79" i="1"/>
  <c r="C80" i="1"/>
  <c r="C81" i="1" s="1"/>
  <c r="J80" i="1"/>
  <c r="D81" i="1"/>
  <c r="J81" i="1"/>
  <c r="H83" i="1"/>
  <c r="C85" i="1"/>
  <c r="D85" i="1"/>
  <c r="G88" i="1"/>
  <c r="G80" i="7" l="1"/>
  <c r="G144" i="7"/>
  <c r="G100" i="7"/>
  <c r="P73" i="7"/>
  <c r="G105" i="7"/>
  <c r="G98" i="7"/>
  <c r="G93" i="7"/>
  <c r="G85" i="7"/>
  <c r="G83" i="7" s="1"/>
  <c r="G78" i="7"/>
  <c r="G74" i="7"/>
  <c r="G71" i="7" s="1"/>
  <c r="G121" i="7"/>
  <c r="G129" i="7" s="1"/>
  <c r="G79" i="7"/>
  <c r="G76" i="7" s="1"/>
  <c r="G94" i="7"/>
  <c r="G91" i="7" s="1"/>
  <c r="G97" i="7"/>
  <c r="G99" i="7"/>
  <c r="G104" i="7"/>
  <c r="G106" i="7"/>
  <c r="G103" i="7" s="1"/>
  <c r="G65" i="7"/>
  <c r="G108" i="7"/>
  <c r="G107" i="7" s="1"/>
  <c r="G88" i="7"/>
  <c r="F55" i="5"/>
  <c r="F35" i="5"/>
  <c r="G35" i="5" s="1"/>
  <c r="F34" i="5"/>
  <c r="G34" i="5" s="1"/>
  <c r="G39" i="5" s="1"/>
  <c r="F48" i="5"/>
  <c r="F49" i="5"/>
  <c r="F43" i="5"/>
  <c r="F42" i="5"/>
  <c r="G119" i="5"/>
  <c r="G131" i="5" s="1"/>
  <c r="G27" i="5"/>
  <c r="F58" i="5"/>
  <c r="G58" i="5" s="1"/>
  <c r="F57" i="5"/>
  <c r="E57" i="5" s="1"/>
  <c r="F56" i="5"/>
  <c r="G56" i="5" s="1"/>
  <c r="F54" i="5"/>
  <c r="G54" i="5" s="1"/>
  <c r="G59" i="5" s="1"/>
  <c r="F51" i="5"/>
  <c r="G51" i="5" s="1"/>
  <c r="F50" i="5"/>
  <c r="E50" i="5" s="1"/>
  <c r="G49" i="5"/>
  <c r="F47" i="5"/>
  <c r="G47" i="5" s="1"/>
  <c r="G52" i="5" s="1"/>
  <c r="F44" i="5"/>
  <c r="G44" i="5" s="1"/>
  <c r="E43" i="5"/>
  <c r="G42" i="5"/>
  <c r="G45" i="5" s="1"/>
  <c r="G61" i="5" s="1"/>
  <c r="G68" i="5" s="1"/>
  <c r="G70" i="5" s="1"/>
  <c r="G134" i="5" s="1"/>
  <c r="G136" i="5" s="1"/>
  <c r="F95" i="3"/>
  <c r="G95" i="3" s="1"/>
  <c r="F88" i="3"/>
  <c r="G88" i="3" s="1"/>
  <c r="F82" i="3"/>
  <c r="G82" i="3" s="1"/>
  <c r="G96" i="3" s="1"/>
  <c r="F79" i="3"/>
  <c r="G79" i="3" s="1"/>
  <c r="F72" i="3"/>
  <c r="G72" i="3" s="1"/>
  <c r="F66" i="3"/>
  <c r="G66" i="3" s="1"/>
  <c r="G54" i="3"/>
  <c r="F63" i="3"/>
  <c r="G63" i="3" s="1"/>
  <c r="G64" i="3"/>
  <c r="G13" i="3"/>
  <c r="G17" i="3"/>
  <c r="G42" i="3" s="1"/>
  <c r="C67" i="1"/>
  <c r="C74" i="1"/>
  <c r="D42" i="1"/>
  <c r="D86" i="1"/>
  <c r="C86" i="1"/>
  <c r="D45" i="1"/>
  <c r="D88" i="1" s="1"/>
  <c r="C45" i="1"/>
  <c r="C88" i="1" s="1"/>
  <c r="K86" i="7" l="1"/>
  <c r="G62" i="7"/>
  <c r="G69" i="7" s="1"/>
  <c r="G159" i="7"/>
  <c r="G96" i="7"/>
  <c r="G89" i="7"/>
  <c r="G59" i="7"/>
  <c r="G80" i="3"/>
  <c r="G98" i="3" s="1"/>
  <c r="G109" i="7" l="1"/>
  <c r="G113" i="7" s="1"/>
  <c r="G222" i="7" l="1"/>
  <c r="G224" i="7"/>
  <c r="G227" i="7"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tc={4F9C7280-D93D-42CA-87E5-F2F883B8B56E}</author>
    <author>tc={BA95ECA1-2E96-44C3-B163-522EA8AC88C3}</author>
  </authors>
  <commentList>
    <comment ref="H17" authorId="0" shapeId="0" xr:uid="{4F9C7280-D93D-42CA-87E5-F2F883B8B56E}">
      <text>
        <t>[Threaded comment]
Your version of Excel allows you to read this threaded comment; however, any edits to it will get removed if the file is opened in a newer version of Excel. Learn more: https://go.microsoft.com/fwlink/?linkid=870924
Comment:
    This is extra from what we initially budgeted? Is that what this means?
Reply:
    We had $5871.56 to cover UWaterloo students to attend for free. we had 28 students use this money (20 grad, 8 undergrad). 28 at $150.44 per person is 4212.32 used out of the $5871.46 allotted. Remainder is $1659.14</t>
      </text>
    </comment>
    <comment ref="H61" authorId="1" shapeId="0" xr:uid="{BA95ECA1-2E96-44C3-B163-522EA8AC88C3}">
      <text>
        <t>[Threaded comment]
Your version of Excel allows you to read this threaded comment; however, any edits to it will get removed if the file is opened in a newer version of Excel. Learn more: https://go.microsoft.com/fwlink/?linkid=870924
Comment:
    should we try and standardize this for the final budget?</t>
      </text>
    </comment>
  </commentList>
</comments>
</file>

<file path=xl/sharedStrings.xml><?xml version="1.0" encoding="utf-8"?>
<sst xmlns="http://schemas.openxmlformats.org/spreadsheetml/2006/main" count="886" uniqueCount="457">
  <si>
    <t>Ontario Ecology, Ethology, and Evolution</t>
  </si>
  <si>
    <t>CONSOLIDATED - Statement of Operations</t>
  </si>
  <si>
    <t>2023 A</t>
  </si>
  <si>
    <t>Opening Balance of Bank Account</t>
  </si>
  <si>
    <t>Notes</t>
  </si>
  <si>
    <t>Contact</t>
  </si>
  <si>
    <t>Budgeted 2023</t>
  </si>
  <si>
    <t>Actual</t>
  </si>
  <si>
    <t>Revenues</t>
  </si>
  <si>
    <t xml:space="preserve">Funding </t>
  </si>
  <si>
    <t>Queens Seed Fund</t>
  </si>
  <si>
    <t>UofT Mississauga</t>
  </si>
  <si>
    <t>UofT EEB</t>
  </si>
  <si>
    <t>York University</t>
  </si>
  <si>
    <t>Canadian Society for Ecology and Evolution</t>
  </si>
  <si>
    <t>Academic Joint Fund (SGPS and SOGS)</t>
  </si>
  <si>
    <t>Western Research</t>
  </si>
  <si>
    <t>Faculty of Science/Biology Dept</t>
  </si>
  <si>
    <t>Comparitive Cognition Society</t>
  </si>
  <si>
    <t>Earth Sciences Dept</t>
  </si>
  <si>
    <t>Biotron</t>
  </si>
  <si>
    <t>Total</t>
  </si>
  <si>
    <t>Sponsorships</t>
  </si>
  <si>
    <t>Qiagen</t>
  </si>
  <si>
    <t xml:space="preserve">For xyz event </t>
  </si>
  <si>
    <t>Canadian Herpetological Society</t>
  </si>
  <si>
    <t>CSZ</t>
  </si>
  <si>
    <t>Company of Biologists (May 15)</t>
  </si>
  <si>
    <t>Canadian Botanical Association</t>
  </si>
  <si>
    <t>OFAH</t>
  </si>
  <si>
    <t>Registration</t>
  </si>
  <si>
    <t>Sub-Total</t>
  </si>
  <si>
    <t>AGA</t>
  </si>
  <si>
    <t>Total Revenues</t>
  </si>
  <si>
    <t>Expenses</t>
  </si>
  <si>
    <t>Bank Fees</t>
  </si>
  <si>
    <t>n/a (internal departmental account)</t>
  </si>
  <si>
    <t>Website Maintenance Fees</t>
  </si>
  <si>
    <t>Student Bursaries</t>
  </si>
  <si>
    <t>Seed Money for 2023</t>
  </si>
  <si>
    <t>Conference Services Management Fee</t>
  </si>
  <si>
    <t>Promotional Materials</t>
  </si>
  <si>
    <t>Printing costs</t>
  </si>
  <si>
    <t>Reg Desk Poster / Easel</t>
  </si>
  <si>
    <t>Promotional materials</t>
  </si>
  <si>
    <t>Mug and Bag only</t>
  </si>
  <si>
    <t>Poster Printing - Pending Company of Biologists</t>
  </si>
  <si>
    <t>Misc</t>
  </si>
  <si>
    <t>FOGS</t>
  </si>
  <si>
    <t>Venue</t>
  </si>
  <si>
    <t>Facility rental</t>
  </si>
  <si>
    <t>Room set up / Caretaking</t>
  </si>
  <si>
    <t>Poster boards ($60 per board, plus $150 set up)</t>
  </si>
  <si>
    <t>Tables, booths, chairs, EASELS</t>
  </si>
  <si>
    <t>AV rental</t>
  </si>
  <si>
    <t>Greg De Souza</t>
  </si>
  <si>
    <t>Catering and Social Costs</t>
  </si>
  <si>
    <t>Thursday Catering</t>
  </si>
  <si>
    <t>Catering</t>
  </si>
  <si>
    <t>11:30 Registration</t>
  </si>
  <si>
    <t>Noon</t>
  </si>
  <si>
    <t>Lunch arrival snacks – vegan</t>
  </si>
  <si>
    <t>Y</t>
  </si>
  <si>
    <t>Wednesday</t>
  </si>
  <si>
    <t>Grad Club $17.55 per person</t>
  </si>
  <si>
    <t>3pm</t>
  </si>
  <si>
    <t>Coffee, tea and beverage dispenser</t>
  </si>
  <si>
    <t>Thursday</t>
  </si>
  <si>
    <t>Grad Club $28.60 per person</t>
  </si>
  <si>
    <t>Grad Club Social</t>
  </si>
  <si>
    <t>Saturday</t>
  </si>
  <si>
    <t>Grad Club $20 per person</t>
  </si>
  <si>
    <t>Friday Catering</t>
  </si>
  <si>
    <t>Wednesday (Committe dinner)</t>
  </si>
  <si>
    <t>Plant Matter Kitchen $60 per person</t>
  </si>
  <si>
    <t>8am</t>
  </si>
  <si>
    <t>AM Refreshment Coffee and Juice</t>
  </si>
  <si>
    <t>Noon: Grab &amp; Go style vegan lunch</t>
  </si>
  <si>
    <t>Plenary Speaker Expenses</t>
  </si>
  <si>
    <t>3pm: Coffee, tea, beverage dispenser</t>
  </si>
  <si>
    <t>International plenary speaker flights</t>
  </si>
  <si>
    <t>6pm</t>
  </si>
  <si>
    <t>7pm: Vegan Buffet Dinner in the Great Hall</t>
  </si>
  <si>
    <t>Plenary speaker gas/bus/train reimbursement</t>
  </si>
  <si>
    <t>Plenary speaker hotel fees</t>
  </si>
  <si>
    <t>Saturday Catering</t>
  </si>
  <si>
    <t>Honoraria</t>
  </si>
  <si>
    <t>Cab</t>
  </si>
  <si>
    <t>Great Hall Lunch in P&amp;AB</t>
  </si>
  <si>
    <t>Coffee, tea and vegan snacks</t>
  </si>
  <si>
    <t>Other</t>
  </si>
  <si>
    <t>5pm</t>
  </si>
  <si>
    <t>Grad Club Closing Cermonies and Cocktails</t>
  </si>
  <si>
    <t>Best Poster and Best Talk for each E</t>
  </si>
  <si>
    <t>Future Seed Fund</t>
  </si>
  <si>
    <t>Total Expenses</t>
  </si>
  <si>
    <t xml:space="preserve">Net Surplus </t>
  </si>
  <si>
    <t xml:space="preserve">Notes: </t>
  </si>
  <si>
    <t>ALL VALUES IN CAD</t>
  </si>
  <si>
    <t>Ontario Ecology, Ethology, and Evolution Colloquium</t>
  </si>
  <si>
    <t>2023 stats:</t>
  </si>
  <si>
    <t>Budget Calculations</t>
  </si>
  <si>
    <t>70 oral presentations</t>
  </si>
  <si>
    <t>2023/2024</t>
  </si>
  <si>
    <t>59 poster talks</t>
  </si>
  <si>
    <t>REVENUE</t>
  </si>
  <si>
    <t xml:space="preserve">Registrations Revenue </t>
  </si>
  <si>
    <t>NOTES</t>
  </si>
  <si>
    <t>Type of Registration</t>
  </si>
  <si>
    <t>Price per Registrant</t>
  </si>
  <si>
    <t># of Registrants</t>
  </si>
  <si>
    <t>Total Line Revenue</t>
  </si>
  <si>
    <t>Undergrad</t>
  </si>
  <si>
    <t xml:space="preserve">Grad </t>
  </si>
  <si>
    <t>Post-Doc</t>
  </si>
  <si>
    <t xml:space="preserve">Faculty </t>
  </si>
  <si>
    <t>Subtotal</t>
  </si>
  <si>
    <t>Set things up to account for 175 people coming</t>
  </si>
  <si>
    <t>New registrants</t>
  </si>
  <si>
    <t>Additional Revenue</t>
  </si>
  <si>
    <t>ADD:</t>
  </si>
  <si>
    <t>should we get any registration-specific funding, we can allocate it here</t>
  </si>
  <si>
    <t>REGISTRATION TOTALS</t>
  </si>
  <si>
    <t>Funding/Donations Revenue</t>
  </si>
  <si>
    <t>Funder</t>
  </si>
  <si>
    <t>Funded Amount</t>
  </si>
  <si>
    <t>UWaterloo Faculty of Science/Biology Dept</t>
  </si>
  <si>
    <t>Waterloo Research</t>
  </si>
  <si>
    <t>FSF</t>
  </si>
  <si>
    <t>Presidents Office</t>
  </si>
  <si>
    <t>FUNDING TOTALS</t>
  </si>
  <si>
    <t>Sponsorship Revenue</t>
  </si>
  <si>
    <t>Sponsor</t>
  </si>
  <si>
    <t>Sponsored Amount</t>
  </si>
  <si>
    <t>Canadian Herpetelogical Society</t>
  </si>
  <si>
    <t>Western University Biology Dept</t>
  </si>
  <si>
    <t>Toronto Metropolitan University, Molecular Science program</t>
  </si>
  <si>
    <t>U of T EEB</t>
  </si>
  <si>
    <t>SPONSORSHIP TOTALS</t>
  </si>
  <si>
    <t>Other Revenue</t>
  </si>
  <si>
    <t>Western University Seed Fund</t>
  </si>
  <si>
    <t>TOTAL REVENUE</t>
  </si>
  <si>
    <t>COSTS</t>
  </si>
  <si>
    <t>Variable Costs</t>
  </si>
  <si>
    <t>Fixed</t>
  </si>
  <si>
    <t>Category</t>
  </si>
  <si>
    <t>Type</t>
  </si>
  <si>
    <t>Price Per Unit (PPU)</t>
  </si>
  <si>
    <t>Amount</t>
  </si>
  <si>
    <t>Variable</t>
  </si>
  <si>
    <t>TOTAL COSTS</t>
  </si>
  <si>
    <t>Name badges</t>
  </si>
  <si>
    <t>quote from eventgroove: https://products.eventgroove.com/small-vip-event-badges/</t>
  </si>
  <si>
    <t>Landyards</t>
  </si>
  <si>
    <t>eventgoove landyards: https://products.eventgroove.com/lanyard/details/buckle-release-breakaway-cloth-lanyard/edit/</t>
  </si>
  <si>
    <t>Badge pronoun stickers</t>
  </si>
  <si>
    <t>2 pacakages of 100 pronoun stickers for badges: https://www.amazon.com/Pronouns-Stickers-Identity-Conference-Supplies/dp/B0B3XDZ979</t>
  </si>
  <si>
    <t>Catering + Food</t>
  </si>
  <si>
    <t>Afternoon Coffee Break:</t>
  </si>
  <si>
    <t>coffee breaks budgeted from uwaterloo catering service prices</t>
  </si>
  <si>
    <t>Coffee</t>
  </si>
  <si>
    <t>Tea</t>
  </si>
  <si>
    <t>Juice</t>
  </si>
  <si>
    <t>Sweets Platter</t>
  </si>
  <si>
    <t>Squares</t>
  </si>
  <si>
    <t>Thursday Dinner</t>
  </si>
  <si>
    <t>Friday Breakfast</t>
  </si>
  <si>
    <t>continental breakfast</t>
  </si>
  <si>
    <t>Morning Coffee Break:</t>
  </si>
  <si>
    <t>Pastries</t>
  </si>
  <si>
    <t>Friday Lunch</t>
  </si>
  <si>
    <t>Friday Dinner</t>
  </si>
  <si>
    <t>Saturday Breakfast</t>
  </si>
  <si>
    <t>Saturday Lunch</t>
  </si>
  <si>
    <t>Saturday Dinner</t>
  </si>
  <si>
    <t>Catering Subtotal</t>
  </si>
  <si>
    <t>Poster Boards</t>
  </si>
  <si>
    <t>Board</t>
  </si>
  <si>
    <t>assuming we have 60 people total that do a poster talk</t>
  </si>
  <si>
    <t>Plenaries</t>
  </si>
  <si>
    <t>Hotel fees</t>
  </si>
  <si>
    <t>Changed this to 600 pending where they stay and possibility an extra night depending on where they need to travel to and train schedules</t>
  </si>
  <si>
    <t>Travel</t>
  </si>
  <si>
    <t>per km</t>
  </si>
  <si>
    <t>Thank yous</t>
  </si>
  <si>
    <t>Don't need an honorarium but maybe a little thank you gift? --&gt; budget for $50 each?</t>
  </si>
  <si>
    <t>Profit</t>
  </si>
  <si>
    <t>R-C</t>
  </si>
  <si>
    <t>Excursions</t>
  </si>
  <si>
    <t>GRT cost</t>
  </si>
  <si>
    <t>single tickets: $3.75 per person... need two for friday in uptown</t>
  </si>
  <si>
    <t>Earth Science Museum UW</t>
  </si>
  <si>
    <t>free</t>
  </si>
  <si>
    <t>Water Facility UW</t>
  </si>
  <si>
    <t>UW Art Museum</t>
  </si>
  <si>
    <t>Rare Charitable Reserve</t>
  </si>
  <si>
    <t>$9/person for 50 people plus bus cost</t>
  </si>
  <si>
    <t>VARIABLE COST TOTAL</t>
  </si>
  <si>
    <t>Fixed Costs</t>
  </si>
  <si>
    <t>PPU</t>
  </si>
  <si>
    <t>Registration poster pop-up</t>
  </si>
  <si>
    <t>printing cost</t>
  </si>
  <si>
    <t>Registration poster/easel thing; eventgroove popup stand: https://products.eventgroove.com/posters-and-flyers/large-format-printing/</t>
  </si>
  <si>
    <t xml:space="preserve">Website </t>
  </si>
  <si>
    <t>website domain cost</t>
  </si>
  <si>
    <t>acounted for 9 months potentially (January - September 2024) at $16/month with Wix</t>
  </si>
  <si>
    <t>Fruit Trays</t>
  </si>
  <si>
    <t>Costco</t>
  </si>
  <si>
    <t>any extra catering?</t>
  </si>
  <si>
    <t xml:space="preserve">Plates, etc. </t>
  </si>
  <si>
    <t>Facility Services</t>
  </si>
  <si>
    <t>based on Western's experience (might be free for us)</t>
  </si>
  <si>
    <t>Board set up</t>
  </si>
  <si>
    <t>Price per km</t>
  </si>
  <si>
    <t># of km roundtrip</t>
  </si>
  <si>
    <t>Mileage is covered at $0.59 per km for up to 500km one way.</t>
  </si>
  <si>
    <t>Mileage for personal vehicles (round trip)</t>
  </si>
  <si>
    <t>Plenary 1 (McMaster)</t>
  </si>
  <si>
    <t>Plenary 2 (UOttawa)</t>
  </si>
  <si>
    <t>Plenary 3 (U Windsor)</t>
  </si>
  <si>
    <t xml:space="preserve">Local Travel </t>
  </si>
  <si>
    <t>Accomodations</t>
  </si>
  <si>
    <t>Price per night (incl tax)</t>
  </si>
  <si>
    <t># nights</t>
  </si>
  <si>
    <t>Delta Waterloo (university discount is $221.48 incl tax per night)</t>
  </si>
  <si>
    <t>Delta Waterloo 01-05 May (4 nights)</t>
  </si>
  <si>
    <t>at UWaterloo discount price</t>
  </si>
  <si>
    <t>Food</t>
  </si>
  <si>
    <t>Per diem</t>
  </si>
  <si>
    <t># days</t>
  </si>
  <si>
    <t>UWaterloo per diem</t>
  </si>
  <si>
    <t>Thank You Gifts</t>
  </si>
  <si>
    <t>Gift</t>
  </si>
  <si>
    <t>Student Prizes</t>
  </si>
  <si>
    <t>Best Grad Talk: Ecology</t>
  </si>
  <si>
    <t>Best Grad Talk: Ethology</t>
  </si>
  <si>
    <t>Best Grad Talk: Evolution</t>
  </si>
  <si>
    <t>Best Undergrad Talk: Ecology</t>
  </si>
  <si>
    <t>Best Undergrad Talk: Ethology</t>
  </si>
  <si>
    <t>Best UndergradTalk: Evolution</t>
  </si>
  <si>
    <t>Best Undergrad Poster</t>
  </si>
  <si>
    <t>Best Graduate Poster</t>
  </si>
  <si>
    <t>FIXED COST TOTAL</t>
  </si>
  <si>
    <t>asked for:</t>
  </si>
  <si>
    <t>VP Research</t>
  </si>
  <si>
    <t>ALL VALUES IN $CAD</t>
  </si>
  <si>
    <t>UWaterloo Faculty of Science</t>
  </si>
  <si>
    <t>UWaterloo Faculty of Environment</t>
  </si>
  <si>
    <t>Declined funding request</t>
  </si>
  <si>
    <t>UWaterloo Biology</t>
  </si>
  <si>
    <t>UWaterloo Graduate Studies and Postdoctoral Affairs</t>
  </si>
  <si>
    <t xml:space="preserve">Western University Seed Fund </t>
  </si>
  <si>
    <t>(estimated, not yet received)</t>
  </si>
  <si>
    <t>Items</t>
  </si>
  <si>
    <t>1USD=1.35CAD</t>
  </si>
  <si>
    <t>Thursday Lunch</t>
  </si>
  <si>
    <t>Afternoon Coffee Break</t>
  </si>
  <si>
    <t>Morning Coffee Break</t>
  </si>
  <si>
    <t>Saturday Closing Social</t>
  </si>
  <si>
    <t>Tables</t>
  </si>
  <si>
    <t>Contigency</t>
  </si>
  <si>
    <t>10% Contigency Reserve</t>
  </si>
  <si>
    <t># of items</t>
  </si>
  <si>
    <t>Compensated Registration for Organizing Committee</t>
  </si>
  <si>
    <t>Undergraduates</t>
  </si>
  <si>
    <t>Graduates</t>
  </si>
  <si>
    <t>Postdocs</t>
  </si>
  <si>
    <t>Faculty Advisor</t>
  </si>
  <si>
    <t>Prizes</t>
  </si>
  <si>
    <t>Net</t>
  </si>
  <si>
    <t>Rebecca Doyle</t>
  </si>
  <si>
    <t>Mileage</t>
  </si>
  <si>
    <t>72km</t>
  </si>
  <si>
    <t>221.48/night incl tax</t>
  </si>
  <si>
    <t>4 nights</t>
  </si>
  <si>
    <t>Food per diem</t>
  </si>
  <si>
    <t>$80/day</t>
  </si>
  <si>
    <t>4 days</t>
  </si>
  <si>
    <t>Thank you gift</t>
  </si>
  <si>
    <t>Local Travel</t>
  </si>
  <si>
    <t>Jessica Forrest</t>
  </si>
  <si>
    <t>549km</t>
  </si>
  <si>
    <t>Hannah ter Hofstede</t>
  </si>
  <si>
    <t>293km</t>
  </si>
  <si>
    <t>Undergrad + Grad</t>
  </si>
  <si>
    <t>$170 after tax</t>
  </si>
  <si>
    <t>$200 after tax</t>
  </si>
  <si>
    <t>minus Tom, Karl, Lesley, and F99</t>
  </si>
  <si>
    <t>$225 after tax</t>
  </si>
  <si>
    <t>SUBTOTAL</t>
  </si>
  <si>
    <t>funding 40 UW students (undergrad + grad) to attend for free</t>
  </si>
  <si>
    <t>American Society of Naturalists</t>
  </si>
  <si>
    <t>Received</t>
  </si>
  <si>
    <t>($2500 USD)</t>
  </si>
  <si>
    <t>20 grad</t>
  </si>
  <si>
    <t>Faculty of Science Foundation (FSF)</t>
  </si>
  <si>
    <t>8 Undergrad</t>
  </si>
  <si>
    <t>$1659.14 extra</t>
  </si>
  <si>
    <t>9 committee</t>
  </si>
  <si>
    <t>3 plenaries</t>
  </si>
  <si>
    <t>40 extra for planning</t>
  </si>
  <si>
    <t>Office of VP Research</t>
  </si>
  <si>
    <t>Canadian Wildlife Federation</t>
  </si>
  <si>
    <t>3 cloth bags with a stack of posters &amp; a hat each; one dry bag with a headlamp &amp; thermos</t>
  </si>
  <si>
    <t>Invasive Species Center</t>
  </si>
  <si>
    <t>Donated misc items for prizes; mugs, pens, microfiber cloth, dry bag for phone, wheelbarrow plant pots, 3 binoculars, etc.</t>
  </si>
  <si>
    <t>Toronto Zoo</t>
  </si>
  <si>
    <t xml:space="preserve">Received </t>
  </si>
  <si>
    <t>2 prize packs; each pack had 2 passes, a $50 water bottle, stickers, 1 palm pal (polar bear stuffie), 1 reusable bag with orangutan on front</t>
  </si>
  <si>
    <t>Vortex Canada</t>
  </si>
  <si>
    <t>binoculars, hat, water bottle, lens cleaner</t>
  </si>
  <si>
    <t>Western University Biology Dept.</t>
  </si>
  <si>
    <t>Said yes but stopped responding</t>
  </si>
  <si>
    <t>accidentally gave $3000, took it back, then stopped replying :(</t>
  </si>
  <si>
    <t>Laurier University, Biology Dept</t>
  </si>
  <si>
    <t>Canadian Section of the Wildlife Society</t>
  </si>
  <si>
    <t>Integrative Ecology and Evolution Section of the Canadian Society of Zoologists</t>
  </si>
  <si>
    <t xml:space="preserve"> SPONSORSHIP TOTALS</t>
  </si>
  <si>
    <t>PAID BY</t>
  </si>
  <si>
    <t>Reimbursed?</t>
  </si>
  <si>
    <t>Pronoun pins</t>
  </si>
  <si>
    <t>Lucas</t>
  </si>
  <si>
    <t>Yes</t>
  </si>
  <si>
    <t>Wood Stickers</t>
  </si>
  <si>
    <t>Lily</t>
  </si>
  <si>
    <t>?</t>
  </si>
  <si>
    <t>Tax sometimes included in per unit price, sometimes added to depending if invoice was per person or set amount</t>
  </si>
  <si>
    <t>All UWaterloo for Thursday catering 5% for online order and UWaterloo account (tableware excluded)</t>
  </si>
  <si>
    <t>Coffee/Tea (UWaterloo)</t>
  </si>
  <si>
    <t>Cups/Saucers (Uwaterloo)</t>
  </si>
  <si>
    <t>50% discount for dirty mugs.</t>
  </si>
  <si>
    <t>Snacks (CE Bakery)</t>
  </si>
  <si>
    <t xml:space="preserve"> </t>
  </si>
  <si>
    <t>Odd Burger Calculations:</t>
  </si>
  <si>
    <t>Oddburger</t>
  </si>
  <si>
    <t>Duble Smash Burger Bar</t>
  </si>
  <si>
    <t>Cupcakes (CE Bakery)</t>
  </si>
  <si>
    <t>ChickUn Burger Bar</t>
  </si>
  <si>
    <t>Thursday Subtotal</t>
  </si>
  <si>
    <t>GF Burger Bar</t>
  </si>
  <si>
    <t>Wingaling Platter</t>
  </si>
  <si>
    <t>Caesar Salad Platter</t>
  </si>
  <si>
    <t>Tea/Coffee (UWaterloo)</t>
  </si>
  <si>
    <t>Delivery</t>
  </si>
  <si>
    <t>Food (CE Bakery)</t>
  </si>
  <si>
    <t>Fruit (UWaterloo)</t>
  </si>
  <si>
    <t>Sandwich &amp; Salad (Uwaterloo)</t>
  </si>
  <si>
    <t xml:space="preserve">Boxed Lunch </t>
  </si>
  <si>
    <t>CE bakery total:</t>
  </si>
  <si>
    <t>* invoice says $4232.98?</t>
  </si>
  <si>
    <t>UpTown GiftCard</t>
  </si>
  <si>
    <t>cupcake invoice $796.31</t>
  </si>
  <si>
    <t>Friday Subtotal</t>
  </si>
  <si>
    <t xml:space="preserve">Rounding decimal error </t>
  </si>
  <si>
    <t>Tea/Coffee</t>
  </si>
  <si>
    <t>Almadina</t>
  </si>
  <si>
    <t>Saturday Subtotal</t>
  </si>
  <si>
    <t>Soft drinks &amp; juice, plates, cutlery</t>
  </si>
  <si>
    <t>For entire duration of conference</t>
  </si>
  <si>
    <t>&lt;- what is the breakdown for this? already budgeted elsewhere?</t>
  </si>
  <si>
    <t>took drink budget out of each individual meal. got too messy doing each meal separate since all combined and different prices for bubbly, pop, etc. Same with sorting out plates, cutlery, etc. This is for entire conference. Previous budget estimate for plates/utensils was removed from miscellaneous</t>
  </si>
  <si>
    <t>click to see response, its truncated</t>
  </si>
  <si>
    <t>Catering Total</t>
  </si>
  <si>
    <t>okay! Sounds good ty</t>
  </si>
  <si>
    <t>GRT cost (return)</t>
  </si>
  <si>
    <t>UW Zoological Collections</t>
  </si>
  <si>
    <t>Free!</t>
  </si>
  <si>
    <t>$9/person</t>
  </si>
  <si>
    <t>invoiced</t>
  </si>
  <si>
    <t>Bus for 2 Rare Excursions and Pick-ups)</t>
  </si>
  <si>
    <t>Tree Planting</t>
  </si>
  <si>
    <t>100 trees free from sustainability</t>
  </si>
  <si>
    <t>Compensated Registration (for Organizing Committee and Keynotes)</t>
  </si>
  <si>
    <t>Mathumy/Harry</t>
  </si>
  <si>
    <t>Michela/Lily/Beatriz/Ryan</t>
  </si>
  <si>
    <t>Lucas/Karen</t>
  </si>
  <si>
    <t>Liam</t>
  </si>
  <si>
    <t>Jessica/Hannah/Rebecca</t>
  </si>
  <si>
    <t>Miscellaneous</t>
  </si>
  <si>
    <t>Website - Wix premium + domain</t>
  </si>
  <si>
    <t>12 months</t>
  </si>
  <si>
    <t>Organizer Hotels for Commuters</t>
  </si>
  <si>
    <t>w/parking</t>
  </si>
  <si>
    <t>Double - 4 nights</t>
  </si>
  <si>
    <t>Ryan</t>
  </si>
  <si>
    <t>Double - 2 nights</t>
  </si>
  <si>
    <t>No</t>
  </si>
  <si>
    <t>Michela</t>
  </si>
  <si>
    <t>Beatriz</t>
  </si>
  <si>
    <t>Victoria</t>
  </si>
  <si>
    <t>Lauren</t>
  </si>
  <si>
    <t>Bistro Table Rentals (ABC Cambridge)</t>
  </si>
  <si>
    <t>20 Bistro, 4 Conference Tables</t>
  </si>
  <si>
    <t>02-06 May 2024. Delivery &amp; Pick-Up</t>
  </si>
  <si>
    <t>Award Paper and Craft Paper for Tables</t>
  </si>
  <si>
    <t>Staples</t>
  </si>
  <si>
    <t>Stationary/Serving/Chafing Oil,etc.</t>
  </si>
  <si>
    <t>Amazon/Dollarama/costco/etc</t>
  </si>
  <si>
    <t>Bright poster paper</t>
  </si>
  <si>
    <t>Dollarama</t>
  </si>
  <si>
    <t>talk 2min left signs</t>
  </si>
  <si>
    <t>Clipboards</t>
  </si>
  <si>
    <t>for judges</t>
  </si>
  <si>
    <t>T-shirts</t>
  </si>
  <si>
    <t>25 t-shirts with logo</t>
  </si>
  <si>
    <t>Volunteer buttons</t>
  </si>
  <si>
    <t>Pizza Snack on Wed 01 May during set-up</t>
  </si>
  <si>
    <t>Grad House</t>
  </si>
  <si>
    <t>2 Pizzas</t>
  </si>
  <si>
    <t>Extra Garbgage/recycling/compost</t>
  </si>
  <si>
    <t>(per km)</t>
  </si>
  <si>
    <t>Mileage for personal vehiclesor train</t>
  </si>
  <si>
    <t>Plenary 1 (McMaster) - Mileage</t>
  </si>
  <si>
    <t>* Rebecca's drive</t>
  </si>
  <si>
    <t>Plenary 2 (UOttawa) - Train</t>
  </si>
  <si>
    <t>* train fee</t>
  </si>
  <si>
    <t>Plenary 3 (U Windsor) - Mileage</t>
  </si>
  <si>
    <t>* Hannah's drive</t>
  </si>
  <si>
    <t>Parking</t>
  </si>
  <si>
    <t>(per night (incl tax))</t>
  </si>
  <si>
    <t>United College 01-05 May (4 nights)</t>
  </si>
  <si>
    <t xml:space="preserve">02-05 May </t>
  </si>
  <si>
    <t>including tax</t>
  </si>
  <si>
    <t>01-05 May</t>
  </si>
  <si>
    <t>02-04May</t>
  </si>
  <si>
    <t>Additional Food Expenses</t>
  </si>
  <si>
    <t>Panelists</t>
  </si>
  <si>
    <t>Mileage for personal vehicles</t>
  </si>
  <si>
    <t>Plenary 1 (Jean-Marc) - Mileage</t>
  </si>
  <si>
    <t>+$7 parking</t>
  </si>
  <si>
    <t>Plenary 2 (Patricia) - UW Employee</t>
  </si>
  <si>
    <t>Plenary 3 (Brendon) - Mileage</t>
  </si>
  <si>
    <t>Committee Evening (9 attendees)</t>
  </si>
  <si>
    <t>Dinner</t>
  </si>
  <si>
    <t>Ken Sushi</t>
  </si>
  <si>
    <t>Billiards and Ping-Pong</t>
  </si>
  <si>
    <t>i Darts Waterloo</t>
  </si>
  <si>
    <t>Billiards and Ping Pong</t>
  </si>
  <si>
    <t>Best Undergrad Talk</t>
  </si>
  <si>
    <t>Reyad Malakh</t>
  </si>
  <si>
    <t>Best Masters Talk</t>
  </si>
  <si>
    <t>Susheen Mahmood</t>
  </si>
  <si>
    <t>Runner up Masters Talk</t>
  </si>
  <si>
    <t>Ainsley Harrison-Weiss</t>
  </si>
  <si>
    <t>Best PhD talk</t>
  </si>
  <si>
    <t>Brendan McEwen</t>
  </si>
  <si>
    <t>Runner up PhD talk</t>
  </si>
  <si>
    <t>Kelly McLean</t>
  </si>
  <si>
    <t>Best Grad Poster</t>
  </si>
  <si>
    <t>Shane Seheult</t>
  </si>
  <si>
    <t>Ana Veneat</t>
  </si>
  <si>
    <t>Runner up Undergrad Poster</t>
  </si>
  <si>
    <t>Ningrui Xie</t>
  </si>
  <si>
    <t>10% Contingency</t>
  </si>
  <si>
    <t>Total Surplus</t>
  </si>
  <si>
    <t>to pass on</t>
  </si>
  <si>
    <t>*Final $$$ from university should be higher than this because of tax refund for some items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</si>
</sst>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6" formatCode="&quot;$&quot;#,##0_);[Red]\(&quot;$&quot;#,##0\)"/>
    <numFmt numFmtId="8" formatCode="&quot;$&quot;#,##0.00_);[Red]\(&quot;$&quot;#,##0.00\)"/>
    <numFmt numFmtId="44" formatCode="_(&quot;$&quot;* #,##0.00_);_(&quot;$&quot;* \(#,##0.00\);_(&quot;$&quot;* &quot;-&quot;??_);_(@_)"/>
    <numFmt numFmtId="164" formatCode="_-&quot;$&quot;* #,##0.00_-;\-&quot;$&quot;* #,##0.00_-;_-&quot;$&quot;* &quot;-&quot;??_-;_-@"/>
    <numFmt numFmtId="165" formatCode="_-&quot;$&quot;* #,##0.00_-;\-&quot;$&quot;* #,##0.00_-;_-&quot;$&quot;* &quot;-&quot;??_-;_-@_-"/>
    <numFmt numFmtId="166" formatCode="_([$$-409]* #,##0.00_);_([$$-409]* \(#,##0.00\);_([$$-409]* &quot;-&quot;??_);_(@_)"/>
    <numFmt numFmtId="167" formatCode="&quot;$&quot;#,##0.00"/>
  </numFmts>
  <fonts count="30">
    <font>
      <sz val="11"/>
      <color theme="1"/>
      <name val="Calibri"/>
      <family val="2"/>
      <scheme val="minor"/>
    </font>
    <font>
      <sz val="12"/>
      <color theme="1"/>
      <name val="Calibri"/>
      <family val="2"/>
      <scheme val="minor"/>
    </font>
    <font>
      <sz val="11"/>
      <color theme="1"/>
      <name val="Calibri"/>
      <family val="2"/>
      <scheme val="minor"/>
    </font>
    <font>
      <sz val="11"/>
      <color theme="1"/>
      <name val="Arial"/>
      <family val="2"/>
    </font>
    <font>
      <sz val="12"/>
      <color theme="1"/>
      <name val="Arial"/>
      <family val="2"/>
    </font>
    <font>
      <b/>
      <sz val="12"/>
      <color theme="1"/>
      <name val="Arial"/>
      <family val="2"/>
    </font>
    <font>
      <b/>
      <sz val="11"/>
      <color theme="1"/>
      <name val="Arial"/>
      <family val="2"/>
    </font>
    <font>
      <sz val="12"/>
      <name val="Arial"/>
      <family val="2"/>
    </font>
    <font>
      <sz val="11"/>
      <color rgb="FFFF0000"/>
      <name val="Arial"/>
      <family val="2"/>
    </font>
    <font>
      <sz val="12"/>
      <color rgb="FFFF0000"/>
      <name val="Arial"/>
      <family val="2"/>
    </font>
    <font>
      <b/>
      <sz val="12"/>
      <color rgb="FF000000"/>
      <name val="Arial"/>
      <family val="2"/>
    </font>
    <font>
      <b/>
      <sz val="11"/>
      <color theme="0"/>
      <name val="Arial"/>
      <family val="2"/>
    </font>
    <font>
      <sz val="12"/>
      <color theme="0"/>
      <name val="Calibri"/>
      <family val="2"/>
      <scheme val="minor"/>
    </font>
    <font>
      <b/>
      <sz val="11"/>
      <color theme="0"/>
      <name val="Calibri"/>
      <family val="2"/>
      <scheme val="minor"/>
    </font>
    <font>
      <b/>
      <sz val="11"/>
      <color theme="1"/>
      <name val="Calibri"/>
      <family val="2"/>
      <scheme val="minor"/>
    </font>
    <font>
      <sz val="11"/>
      <color rgb="FF000000"/>
      <name val="Calibri"/>
      <family val="2"/>
      <scheme val="minor"/>
    </font>
    <font>
      <sz val="11"/>
      <name val="Calibri"/>
      <family val="2"/>
      <scheme val="minor"/>
    </font>
    <font>
      <b/>
      <sz val="12"/>
      <color theme="1"/>
      <name val="Calibri"/>
      <family val="2"/>
      <scheme val="minor"/>
    </font>
    <font>
      <sz val="11"/>
      <name val="Calibri"/>
      <scheme val="minor"/>
    </font>
    <font>
      <sz val="11"/>
      <color rgb="FF000000"/>
      <name val="Calibri"/>
      <scheme val="minor"/>
    </font>
    <font>
      <b/>
      <sz val="14"/>
      <color theme="1"/>
      <name val="Calibri"/>
      <family val="2"/>
      <scheme val="minor"/>
    </font>
    <font>
      <b/>
      <sz val="12"/>
      <color theme="0"/>
      <name val="Calibri"/>
      <family val="2"/>
      <scheme val="minor"/>
    </font>
    <font>
      <sz val="12"/>
      <name val="Calibri"/>
      <scheme val="minor"/>
    </font>
    <font>
      <sz val="12"/>
      <color rgb="FF000000"/>
      <name val="Calibri"/>
      <scheme val="minor"/>
    </font>
    <font>
      <sz val="12"/>
      <color theme="1"/>
      <name val="Calibri"/>
      <scheme val="minor"/>
    </font>
    <font>
      <b/>
      <i/>
      <sz val="12"/>
      <color theme="1"/>
      <name val="Calibri"/>
      <family val="2"/>
      <scheme val="minor"/>
    </font>
    <font>
      <sz val="12"/>
      <color rgb="FF000000"/>
      <name val="Calibri"/>
      <family val="2"/>
      <scheme val="minor"/>
    </font>
    <font>
      <b/>
      <sz val="12"/>
      <color rgb="FF000000"/>
      <name val="Calibri"/>
      <scheme val="minor"/>
    </font>
    <font>
      <sz val="12"/>
      <color rgb="FF000000"/>
      <name val="Calibri"/>
      <charset val="1"/>
    </font>
    <font>
      <sz val="11"/>
      <color rgb="FF000000"/>
      <name val="Aptos Narrow"/>
      <charset val="1"/>
    </font>
  </fonts>
  <fills count="21">
    <fill>
      <patternFill patternType="none"/>
    </fill>
    <fill>
      <patternFill patternType="gray125"/>
    </fill>
    <fill>
      <patternFill patternType="solid">
        <fgColor rgb="FF8EAADB"/>
        <bgColor rgb="FF8EAADB"/>
      </patternFill>
    </fill>
    <fill>
      <patternFill patternType="solid">
        <fgColor theme="0"/>
        <bgColor theme="0"/>
      </patternFill>
    </fill>
    <fill>
      <patternFill patternType="solid">
        <fgColor rgb="FFFFCCFF"/>
        <bgColor indexed="64"/>
      </patternFill>
    </fill>
    <fill>
      <patternFill patternType="solid">
        <fgColor rgb="FFD9E2F3"/>
        <bgColor rgb="FFD9E2F3"/>
      </patternFill>
    </fill>
    <fill>
      <patternFill patternType="solid">
        <fgColor rgb="FFFFFF00"/>
        <bgColor theme="0"/>
      </patternFill>
    </fill>
    <fill>
      <patternFill patternType="solid">
        <fgColor theme="5" tint="0.79998168889431442"/>
        <bgColor indexed="64"/>
      </patternFill>
    </fill>
    <fill>
      <patternFill patternType="solid">
        <fgColor rgb="FFFFFF00"/>
        <bgColor indexed="64"/>
      </patternFill>
    </fill>
    <fill>
      <patternFill patternType="solid">
        <fgColor theme="8" tint="0.79998168889431442"/>
        <bgColor indexed="64"/>
      </patternFill>
    </fill>
    <fill>
      <patternFill patternType="solid">
        <fgColor theme="0"/>
        <bgColor rgb="FFD9E2F3"/>
      </patternFill>
    </fill>
    <fill>
      <patternFill patternType="solid">
        <fgColor theme="4" tint="0.79998168889431442"/>
        <bgColor indexed="64"/>
      </patternFill>
    </fill>
    <fill>
      <patternFill patternType="solid">
        <fgColor theme="4" tint="0.79998168889431442"/>
        <bgColor rgb="FF8EAADB"/>
      </patternFill>
    </fill>
    <fill>
      <patternFill patternType="solid">
        <fgColor rgb="FF2F5496"/>
        <bgColor rgb="FF2F5496"/>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8" tint="0.39997558519241921"/>
        <bgColor indexed="64"/>
      </patternFill>
    </fill>
    <fill>
      <patternFill patternType="solid">
        <fgColor theme="8" tint="0.59999389629810485"/>
        <bgColor indexed="64"/>
      </patternFill>
    </fill>
    <fill>
      <patternFill patternType="solid">
        <fgColor theme="0"/>
        <bgColor indexed="64"/>
      </patternFill>
    </fill>
  </fills>
  <borders count="2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diagonal/>
    </border>
    <border>
      <left style="thin">
        <color indexed="64"/>
      </left>
      <right style="thin">
        <color indexed="64"/>
      </right>
      <top/>
      <bottom/>
      <diagonal/>
    </border>
    <border>
      <left style="thin">
        <color rgb="FF000000"/>
      </left>
      <right/>
      <top/>
      <bottom/>
      <diagonal/>
    </border>
    <border>
      <left style="thin">
        <color rgb="FF000000"/>
      </left>
      <right style="thin">
        <color rgb="FF000000"/>
      </right>
      <top/>
      <bottom/>
      <diagonal/>
    </border>
    <border>
      <left/>
      <right style="thin">
        <color rgb="FF000000"/>
      </right>
      <top/>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bottom style="thin">
        <color indexed="64"/>
      </bottom>
      <diagonal/>
    </border>
    <border>
      <left/>
      <right/>
      <top/>
      <bottom style="double">
        <color indexed="64"/>
      </bottom>
      <diagonal/>
    </border>
    <border>
      <left/>
      <right/>
      <top style="thin">
        <color indexed="64"/>
      </top>
      <bottom/>
      <diagonal/>
    </border>
    <border>
      <left/>
      <right/>
      <top style="thin">
        <color indexed="64"/>
      </top>
      <bottom style="thin">
        <color rgb="FF000000"/>
      </bottom>
      <diagonal/>
    </border>
    <border>
      <left/>
      <right/>
      <top style="thin">
        <color rgb="FF000000"/>
      </top>
      <bottom/>
      <diagonal/>
    </border>
    <border>
      <left/>
      <right/>
      <top style="thin">
        <color rgb="FF000000"/>
      </top>
      <bottom style="thin">
        <color rgb="FF000000"/>
      </bottom>
      <diagonal/>
    </border>
    <border>
      <left/>
      <right/>
      <top/>
      <bottom style="thin">
        <color rgb="FF000000"/>
      </bottom>
      <diagonal/>
    </border>
    <border>
      <left/>
      <right/>
      <top/>
      <bottom style="double">
        <color rgb="FF000000"/>
      </bottom>
      <diagonal/>
    </border>
  </borders>
  <cellStyleXfs count="6">
    <xf numFmtId="0" fontId="0" fillId="0" borderId="0"/>
    <xf numFmtId="165" fontId="2" fillId="0" borderId="0" applyFont="0" applyFill="0" applyBorder="0" applyAlignment="0" applyProtection="0"/>
    <xf numFmtId="0" fontId="12"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cellStyleXfs>
  <cellXfs count="283">
    <xf numFmtId="0" fontId="0" fillId="0" borderId="0" xfId="0"/>
    <xf numFmtId="0" fontId="3" fillId="0" borderId="0" xfId="0" applyFont="1"/>
    <xf numFmtId="0" fontId="4" fillId="0" borderId="0" xfId="0" applyFont="1"/>
    <xf numFmtId="0" fontId="3" fillId="0" borderId="1" xfId="0" applyFont="1" applyBorder="1"/>
    <xf numFmtId="0" fontId="4" fillId="0" borderId="1" xfId="0" applyFont="1" applyBorder="1"/>
    <xf numFmtId="44" fontId="5" fillId="2" borderId="1" xfId="0" applyNumberFormat="1" applyFont="1" applyFill="1" applyBorder="1"/>
    <xf numFmtId="0" fontId="5" fillId="2" borderId="1" xfId="0" applyFont="1" applyFill="1" applyBorder="1"/>
    <xf numFmtId="44" fontId="4" fillId="0" borderId="1" xfId="0" applyNumberFormat="1" applyFont="1" applyBorder="1"/>
    <xf numFmtId="0" fontId="4" fillId="2" borderId="1" xfId="0" applyFont="1" applyFill="1" applyBorder="1"/>
    <xf numFmtId="44" fontId="4" fillId="3" borderId="1" xfId="0" applyNumberFormat="1" applyFont="1" applyFill="1" applyBorder="1" applyAlignment="1">
      <alignment horizontal="right"/>
    </xf>
    <xf numFmtId="164" fontId="4" fillId="0" borderId="1" xfId="0" applyNumberFormat="1" applyFont="1" applyBorder="1"/>
    <xf numFmtId="0" fontId="4" fillId="3" borderId="1" xfId="0" quotePrefix="1" applyFont="1" applyFill="1" applyBorder="1" applyAlignment="1">
      <alignment horizontal="left"/>
    </xf>
    <xf numFmtId="0" fontId="6" fillId="3" borderId="1" xfId="0" applyFont="1" applyFill="1" applyBorder="1" applyAlignment="1">
      <alignment horizontal="left"/>
    </xf>
    <xf numFmtId="165" fontId="3" fillId="0" borderId="1" xfId="1" applyFont="1" applyBorder="1"/>
    <xf numFmtId="0" fontId="3" fillId="4" borderId="1" xfId="0" applyFont="1" applyFill="1" applyBorder="1"/>
    <xf numFmtId="165" fontId="3" fillId="4" borderId="1" xfId="1" applyFont="1" applyFill="1" applyBorder="1"/>
    <xf numFmtId="0" fontId="0" fillId="4" borderId="1" xfId="0" applyFill="1" applyBorder="1" applyAlignment="1">
      <alignment vertical="center"/>
    </xf>
    <xf numFmtId="20" fontId="3" fillId="4" borderId="1" xfId="0" applyNumberFormat="1" applyFont="1" applyFill="1" applyBorder="1"/>
    <xf numFmtId="0" fontId="7" fillId="0" borderId="1" xfId="0" applyFont="1" applyBorder="1"/>
    <xf numFmtId="0" fontId="0" fillId="0" borderId="1" xfId="0" applyBorder="1" applyAlignment="1">
      <alignment vertical="center"/>
    </xf>
    <xf numFmtId="164" fontId="4" fillId="3" borderId="1" xfId="0" applyNumberFormat="1" applyFont="1" applyFill="1" applyBorder="1" applyAlignment="1">
      <alignment horizontal="left"/>
    </xf>
    <xf numFmtId="0" fontId="4" fillId="3" borderId="1" xfId="0" applyFont="1" applyFill="1" applyBorder="1" applyAlignment="1">
      <alignment horizontal="left"/>
    </xf>
    <xf numFmtId="165" fontId="3" fillId="0" borderId="1" xfId="1" applyFont="1" applyFill="1" applyBorder="1"/>
    <xf numFmtId="0" fontId="4" fillId="6" borderId="1" xfId="0" applyFont="1" applyFill="1" applyBorder="1" applyAlignment="1">
      <alignment horizontal="left"/>
    </xf>
    <xf numFmtId="0" fontId="3" fillId="7" borderId="1" xfId="0" applyFont="1" applyFill="1" applyBorder="1"/>
    <xf numFmtId="165" fontId="3" fillId="7" borderId="1" xfId="1" applyFont="1" applyFill="1" applyBorder="1"/>
    <xf numFmtId="0" fontId="0" fillId="7" borderId="1" xfId="0" applyFill="1" applyBorder="1" applyAlignment="1">
      <alignment vertical="center"/>
    </xf>
    <xf numFmtId="0" fontId="6" fillId="5" borderId="2" xfId="0" applyFont="1" applyFill="1" applyBorder="1"/>
    <xf numFmtId="0" fontId="6" fillId="5" borderId="3" xfId="0" applyFont="1" applyFill="1" applyBorder="1"/>
    <xf numFmtId="0" fontId="6" fillId="5" borderId="4" xfId="0" applyFont="1" applyFill="1" applyBorder="1"/>
    <xf numFmtId="20" fontId="3" fillId="0" borderId="1" xfId="0" applyNumberFormat="1" applyFont="1" applyBorder="1"/>
    <xf numFmtId="0" fontId="4" fillId="8" borderId="1" xfId="0" applyFont="1" applyFill="1" applyBorder="1"/>
    <xf numFmtId="20" fontId="6" fillId="0" borderId="0" xfId="0" applyNumberFormat="1" applyFont="1" applyAlignment="1">
      <alignment horizontal="right"/>
    </xf>
    <xf numFmtId="0" fontId="6" fillId="5" borderId="1" xfId="0" applyFont="1" applyFill="1" applyBorder="1"/>
    <xf numFmtId="164" fontId="6" fillId="5" borderId="1" xfId="0" applyNumberFormat="1" applyFont="1" applyFill="1" applyBorder="1"/>
    <xf numFmtId="0" fontId="8" fillId="0" borderId="0" xfId="0" applyFont="1"/>
    <xf numFmtId="44" fontId="9" fillId="9" borderId="1" xfId="0" applyNumberFormat="1" applyFont="1" applyFill="1" applyBorder="1"/>
    <xf numFmtId="165" fontId="6" fillId="0" borderId="1" xfId="1" applyFont="1" applyFill="1" applyBorder="1"/>
    <xf numFmtId="0" fontId="5" fillId="0" borderId="1" xfId="0" applyFont="1" applyBorder="1"/>
    <xf numFmtId="165" fontId="3" fillId="0" borderId="1" xfId="1" quotePrefix="1" applyFont="1" applyFill="1" applyBorder="1" applyAlignment="1">
      <alignment horizontal="right"/>
    </xf>
    <xf numFmtId="44" fontId="5" fillId="0" borderId="1" xfId="0" applyNumberFormat="1" applyFont="1" applyBorder="1"/>
    <xf numFmtId="166" fontId="4" fillId="0" borderId="1" xfId="0" applyNumberFormat="1" applyFont="1" applyBorder="1"/>
    <xf numFmtId="44" fontId="4" fillId="5" borderId="1" xfId="0" applyNumberFormat="1" applyFont="1" applyFill="1" applyBorder="1" applyAlignment="1">
      <alignment horizontal="left"/>
    </xf>
    <xf numFmtId="0" fontId="6" fillId="10" borderId="1" xfId="0" applyFont="1" applyFill="1" applyBorder="1" applyAlignment="1">
      <alignment horizontal="left"/>
    </xf>
    <xf numFmtId="0" fontId="3" fillId="11" borderId="5" xfId="0" applyFont="1" applyFill="1" applyBorder="1" applyAlignment="1">
      <alignment horizontal="center"/>
    </xf>
    <xf numFmtId="0" fontId="4" fillId="5" borderId="10" xfId="0" applyFont="1" applyFill="1" applyBorder="1" applyAlignment="1">
      <alignment horizontal="center"/>
    </xf>
    <xf numFmtId="0" fontId="3" fillId="11" borderId="13" xfId="0" applyFont="1" applyFill="1" applyBorder="1" applyAlignment="1">
      <alignment horizontal="center"/>
    </xf>
    <xf numFmtId="0" fontId="3" fillId="11" borderId="0" xfId="0" applyFont="1" applyFill="1"/>
    <xf numFmtId="0" fontId="6" fillId="12" borderId="0" xfId="0" applyFont="1" applyFill="1" applyAlignment="1">
      <alignment horizontal="center"/>
    </xf>
    <xf numFmtId="0" fontId="14" fillId="0" borderId="0" xfId="0" applyFont="1" applyAlignment="1">
      <alignment horizontal="left"/>
    </xf>
    <xf numFmtId="44" fontId="3" fillId="0" borderId="0" xfId="0" applyNumberFormat="1" applyFont="1"/>
    <xf numFmtId="165" fontId="0" fillId="0" borderId="0" xfId="1" applyFont="1"/>
    <xf numFmtId="0" fontId="14" fillId="0" borderId="0" xfId="0" applyFont="1"/>
    <xf numFmtId="165" fontId="0" fillId="0" borderId="0" xfId="1" applyFont="1" applyFill="1" applyBorder="1"/>
    <xf numFmtId="165" fontId="14" fillId="0" borderId="0" xfId="1" applyFont="1" applyFill="1" applyBorder="1"/>
    <xf numFmtId="0" fontId="14" fillId="0" borderId="0" xfId="0" applyFont="1" applyAlignment="1">
      <alignment horizontal="center"/>
    </xf>
    <xf numFmtId="165" fontId="0" fillId="0" borderId="17" xfId="1" applyFont="1" applyBorder="1"/>
    <xf numFmtId="0" fontId="14" fillId="0" borderId="3" xfId="0" applyFont="1" applyBorder="1"/>
    <xf numFmtId="0" fontId="14" fillId="15" borderId="0" xfId="3" applyFont="1"/>
    <xf numFmtId="0" fontId="14" fillId="15" borderId="0" xfId="3" applyFont="1" applyBorder="1"/>
    <xf numFmtId="0" fontId="14" fillId="0" borderId="19" xfId="0" applyFont="1" applyBorder="1"/>
    <xf numFmtId="0" fontId="14" fillId="15" borderId="0" xfId="3" applyFont="1" applyAlignment="1">
      <alignment horizontal="left"/>
    </xf>
    <xf numFmtId="0" fontId="14" fillId="15" borderId="0" xfId="3" applyFont="1" applyAlignment="1">
      <alignment horizontal="center"/>
    </xf>
    <xf numFmtId="0" fontId="14" fillId="15" borderId="0" xfId="3" applyFont="1" applyBorder="1" applyAlignment="1">
      <alignment horizontal="left"/>
    </xf>
    <xf numFmtId="0" fontId="14" fillId="15" borderId="0" xfId="3" applyFont="1" applyBorder="1" applyAlignment="1">
      <alignment horizontal="center"/>
    </xf>
    <xf numFmtId="0" fontId="16" fillId="0" borderId="0" xfId="0" applyFont="1"/>
    <xf numFmtId="0" fontId="14" fillId="0" borderId="0" xfId="5" applyFont="1" applyFill="1" applyBorder="1" applyAlignment="1">
      <alignment horizontal="center"/>
    </xf>
    <xf numFmtId="0" fontId="15" fillId="0" borderId="0" xfId="0" applyFont="1"/>
    <xf numFmtId="0" fontId="14" fillId="0" borderId="17" xfId="5" applyFont="1" applyFill="1" applyBorder="1" applyAlignment="1">
      <alignment horizontal="center"/>
    </xf>
    <xf numFmtId="0" fontId="14" fillId="0" borderId="19" xfId="0" applyFont="1" applyBorder="1" applyAlignment="1">
      <alignment horizontal="left"/>
    </xf>
    <xf numFmtId="0" fontId="0" fillId="0" borderId="0" xfId="0" applyAlignment="1">
      <alignment horizontal="center"/>
    </xf>
    <xf numFmtId="0" fontId="0" fillId="0" borderId="17" xfId="0" applyBorder="1"/>
    <xf numFmtId="165" fontId="0" fillId="0" borderId="0" xfId="0" applyNumberFormat="1"/>
    <xf numFmtId="0" fontId="0" fillId="0" borderId="0" xfId="0" applyAlignment="1">
      <alignment horizontal="left"/>
    </xf>
    <xf numFmtId="165" fontId="0" fillId="0" borderId="0" xfId="1" quotePrefix="1" applyFont="1" applyFill="1" applyBorder="1" applyAlignment="1">
      <alignment horizontal="right"/>
    </xf>
    <xf numFmtId="0" fontId="14" fillId="0" borderId="18" xfId="5" applyFont="1" applyFill="1" applyBorder="1" applyAlignment="1">
      <alignment horizontal="center"/>
    </xf>
    <xf numFmtId="0" fontId="14" fillId="16" borderId="18" xfId="4" applyFont="1" applyBorder="1" applyAlignment="1">
      <alignment horizontal="center"/>
    </xf>
    <xf numFmtId="165" fontId="2" fillId="0" borderId="0" xfId="1" applyFont="1" applyBorder="1" applyAlignment="1">
      <alignment horizontal="left"/>
    </xf>
    <xf numFmtId="165" fontId="2" fillId="0" borderId="0" xfId="1" applyFont="1" applyAlignment="1">
      <alignment horizontal="left"/>
    </xf>
    <xf numFmtId="165" fontId="14" fillId="0" borderId="19" xfId="1" applyFont="1" applyFill="1" applyBorder="1"/>
    <xf numFmtId="166" fontId="0" fillId="0" borderId="0" xfId="0" applyNumberFormat="1"/>
    <xf numFmtId="166" fontId="14" fillId="0" borderId="0" xfId="0" applyNumberFormat="1" applyFont="1" applyAlignment="1">
      <alignment horizontal="left"/>
    </xf>
    <xf numFmtId="166" fontId="0" fillId="0" borderId="0" xfId="0" applyNumberFormat="1" applyAlignment="1">
      <alignment horizontal="left"/>
    </xf>
    <xf numFmtId="166" fontId="0" fillId="0" borderId="21" xfId="0" applyNumberFormat="1" applyBorder="1" applyAlignment="1">
      <alignment horizontal="left"/>
    </xf>
    <xf numFmtId="166" fontId="14" fillId="15" borderId="0" xfId="3" applyNumberFormat="1" applyFont="1" applyBorder="1"/>
    <xf numFmtId="166" fontId="0" fillId="0" borderId="0" xfId="1" applyNumberFormat="1" applyFont="1"/>
    <xf numFmtId="166" fontId="0" fillId="0" borderId="17" xfId="1" applyNumberFormat="1" applyFont="1" applyBorder="1"/>
    <xf numFmtId="166" fontId="14" fillId="0" borderId="3" xfId="0" applyNumberFormat="1" applyFont="1" applyBorder="1"/>
    <xf numFmtId="166" fontId="14" fillId="0" borderId="0" xfId="0" applyNumberFormat="1" applyFont="1"/>
    <xf numFmtId="166" fontId="14" fillId="15" borderId="0" xfId="3" applyNumberFormat="1" applyFont="1"/>
    <xf numFmtId="166" fontId="14" fillId="0" borderId="3" xfId="1" applyNumberFormat="1" applyFont="1" applyBorder="1"/>
    <xf numFmtId="166" fontId="0" fillId="0" borderId="0" xfId="1" applyNumberFormat="1" applyFont="1" applyBorder="1"/>
    <xf numFmtId="166" fontId="0" fillId="0" borderId="0" xfId="1" applyNumberFormat="1" applyFont="1" applyFill="1" applyBorder="1"/>
    <xf numFmtId="166" fontId="14" fillId="0" borderId="0" xfId="0" applyNumberFormat="1" applyFont="1" applyAlignment="1">
      <alignment horizontal="center"/>
    </xf>
    <xf numFmtId="166" fontId="14" fillId="15" borderId="0" xfId="3" applyNumberFormat="1" applyFont="1" applyBorder="1" applyAlignment="1">
      <alignment horizontal="left"/>
    </xf>
    <xf numFmtId="166" fontId="0" fillId="0" borderId="0" xfId="1" applyNumberFormat="1" applyFont="1" applyFill="1" applyBorder="1" applyAlignment="1">
      <alignment horizontal="left"/>
    </xf>
    <xf numFmtId="166" fontId="0" fillId="0" borderId="17" xfId="1" applyNumberFormat="1" applyFont="1" applyFill="1" applyBorder="1" applyAlignment="1">
      <alignment horizontal="left"/>
    </xf>
    <xf numFmtId="166" fontId="14" fillId="0" borderId="0" xfId="5" applyNumberFormat="1" applyFont="1" applyFill="1" applyBorder="1" applyAlignment="1">
      <alignment horizontal="center"/>
    </xf>
    <xf numFmtId="166" fontId="14" fillId="16" borderId="18" xfId="4" applyNumberFormat="1" applyFont="1" applyBorder="1" applyAlignment="1">
      <alignment horizontal="center"/>
    </xf>
    <xf numFmtId="166" fontId="0" fillId="0" borderId="0" xfId="0" applyNumberFormat="1" applyAlignment="1">
      <alignment horizontal="center"/>
    </xf>
    <xf numFmtId="166" fontId="14" fillId="0" borderId="3" xfId="0" applyNumberFormat="1" applyFont="1" applyBorder="1" applyAlignment="1">
      <alignment horizontal="left"/>
    </xf>
    <xf numFmtId="166" fontId="14" fillId="0" borderId="0" xfId="1" applyNumberFormat="1" applyFont="1" applyBorder="1"/>
    <xf numFmtId="166" fontId="0" fillId="0" borderId="3" xfId="1" applyNumberFormat="1" applyFont="1" applyFill="1" applyBorder="1"/>
    <xf numFmtId="166" fontId="14" fillId="0" borderId="19" xfId="0" applyNumberFormat="1" applyFont="1" applyBorder="1"/>
    <xf numFmtId="166" fontId="14" fillId="0" borderId="20" xfId="0" applyNumberFormat="1" applyFont="1" applyBorder="1"/>
    <xf numFmtId="166" fontId="14" fillId="0" borderId="21" xfId="0" applyNumberFormat="1" applyFont="1" applyBorder="1" applyAlignment="1">
      <alignment horizontal="left"/>
    </xf>
    <xf numFmtId="0" fontId="14" fillId="0" borderId="21" xfId="0" applyFont="1" applyBorder="1"/>
    <xf numFmtId="166" fontId="14" fillId="0" borderId="22" xfId="1" applyNumberFormat="1" applyFont="1" applyBorder="1"/>
    <xf numFmtId="0" fontId="17" fillId="0" borderId="21" xfId="4" applyFont="1" applyFill="1" applyBorder="1"/>
    <xf numFmtId="0" fontId="1" fillId="0" borderId="22" xfId="4" applyFill="1" applyBorder="1"/>
    <xf numFmtId="166" fontId="1" fillId="0" borderId="22" xfId="4" applyNumberFormat="1" applyFill="1" applyBorder="1"/>
    <xf numFmtId="0" fontId="14" fillId="0" borderId="0" xfId="5" applyFont="1" applyFill="1" applyBorder="1" applyAlignment="1">
      <alignment horizontal="left"/>
    </xf>
    <xf numFmtId="0" fontId="0" fillId="0" borderId="0" xfId="1" applyNumberFormat="1" applyFont="1" applyFill="1" applyBorder="1"/>
    <xf numFmtId="0" fontId="14" fillId="0" borderId="23" xfId="0" applyFont="1" applyBorder="1"/>
    <xf numFmtId="0" fontId="0" fillId="0" borderId="23" xfId="0" applyBorder="1"/>
    <xf numFmtId="166" fontId="14" fillId="0" borderId="23" xfId="0" applyNumberFormat="1" applyFont="1" applyBorder="1"/>
    <xf numFmtId="0" fontId="18" fillId="0" borderId="0" xfId="0" applyFont="1"/>
    <xf numFmtId="8" fontId="0" fillId="0" borderId="0" xfId="0" applyNumberFormat="1"/>
    <xf numFmtId="2" fontId="0" fillId="0" borderId="0" xfId="0" applyNumberFormat="1"/>
    <xf numFmtId="165" fontId="0" fillId="0" borderId="0" xfId="1" applyFont="1" applyAlignment="1">
      <alignment horizontal="left"/>
    </xf>
    <xf numFmtId="167" fontId="0" fillId="0" borderId="0" xfId="0" applyNumberFormat="1"/>
    <xf numFmtId="6" fontId="0" fillId="0" borderId="0" xfId="0" applyNumberFormat="1"/>
    <xf numFmtId="0" fontId="0" fillId="0" borderId="0" xfId="0" applyAlignment="1">
      <alignment horizontal="right"/>
    </xf>
    <xf numFmtId="44" fontId="0" fillId="0" borderId="0" xfId="0" applyNumberFormat="1"/>
    <xf numFmtId="0" fontId="14" fillId="0" borderId="21" xfId="0" applyFont="1" applyBorder="1" applyAlignment="1">
      <alignment horizontal="left"/>
    </xf>
    <xf numFmtId="166" fontId="14" fillId="0" borderId="21" xfId="0" applyNumberFormat="1" applyFont="1" applyBorder="1" applyAlignment="1">
      <alignment horizontal="center"/>
    </xf>
    <xf numFmtId="0" fontId="14" fillId="0" borderId="19" xfId="5" applyFont="1" applyFill="1" applyBorder="1" applyAlignment="1">
      <alignment horizontal="left"/>
    </xf>
    <xf numFmtId="0" fontId="14" fillId="0" borderId="22" xfId="0" applyFont="1" applyBorder="1" applyAlignment="1">
      <alignment horizontal="left"/>
    </xf>
    <xf numFmtId="166" fontId="14" fillId="0" borderId="22" xfId="0" applyNumberFormat="1" applyFont="1" applyBorder="1" applyAlignment="1">
      <alignment horizontal="center"/>
    </xf>
    <xf numFmtId="0" fontId="19" fillId="0" borderId="0" xfId="0" applyFont="1" applyAlignment="1">
      <alignment horizontal="left"/>
    </xf>
    <xf numFmtId="44" fontId="0" fillId="0" borderId="0" xfId="0" applyNumberFormat="1" applyAlignment="1">
      <alignment horizontal="left"/>
    </xf>
    <xf numFmtId="0" fontId="19" fillId="0" borderId="0" xfId="5" applyFont="1" applyFill="1" applyBorder="1" applyAlignment="1">
      <alignment horizontal="center"/>
    </xf>
    <xf numFmtId="0" fontId="17" fillId="9" borderId="21" xfId="4" applyFont="1" applyFill="1" applyBorder="1"/>
    <xf numFmtId="166" fontId="17" fillId="9" borderId="22" xfId="4" applyNumberFormat="1" applyFont="1" applyFill="1" applyBorder="1"/>
    <xf numFmtId="0" fontId="17" fillId="16" borderId="18" xfId="4" applyFont="1" applyBorder="1" applyAlignment="1">
      <alignment horizontal="center"/>
    </xf>
    <xf numFmtId="0" fontId="20" fillId="16" borderId="18" xfId="4" applyFont="1" applyBorder="1" applyAlignment="1">
      <alignment horizontal="center"/>
    </xf>
    <xf numFmtId="166" fontId="17" fillId="19" borderId="24" xfId="0" applyNumberFormat="1" applyFont="1" applyFill="1" applyBorder="1"/>
    <xf numFmtId="0" fontId="1" fillId="0" borderId="0" xfId="0" applyFont="1"/>
    <xf numFmtId="166" fontId="1" fillId="0" borderId="0" xfId="0" applyNumberFormat="1" applyFont="1"/>
    <xf numFmtId="0" fontId="17" fillId="15" borderId="0" xfId="3" applyFont="1" applyBorder="1"/>
    <xf numFmtId="166" fontId="17" fillId="15" borderId="0" xfId="3" applyNumberFormat="1" applyFont="1" applyBorder="1"/>
    <xf numFmtId="165" fontId="1" fillId="0" borderId="0" xfId="1" applyFont="1"/>
    <xf numFmtId="166" fontId="1" fillId="0" borderId="0" xfId="1" applyNumberFormat="1" applyFont="1"/>
    <xf numFmtId="0" fontId="1" fillId="0" borderId="17" xfId="0" applyFont="1" applyBorder="1"/>
    <xf numFmtId="166" fontId="1" fillId="0" borderId="17" xfId="1" applyNumberFormat="1" applyFont="1" applyBorder="1"/>
    <xf numFmtId="0" fontId="17" fillId="0" borderId="19" xfId="0" applyFont="1" applyBorder="1"/>
    <xf numFmtId="0" fontId="17" fillId="0" borderId="3" xfId="0" applyFont="1" applyBorder="1"/>
    <xf numFmtId="0" fontId="17" fillId="15" borderId="0" xfId="3" applyFont="1" applyAlignment="1">
      <alignment horizontal="left"/>
    </xf>
    <xf numFmtId="0" fontId="17" fillId="15" borderId="0" xfId="3" applyFont="1" applyAlignment="1">
      <alignment horizontal="center"/>
    </xf>
    <xf numFmtId="0" fontId="1" fillId="0" borderId="0" xfId="0" applyFont="1" applyAlignment="1">
      <alignment horizontal="left"/>
    </xf>
    <xf numFmtId="0" fontId="1" fillId="0" borderId="0" xfId="0" applyFont="1" applyAlignment="1">
      <alignment horizontal="center"/>
    </xf>
    <xf numFmtId="166" fontId="1" fillId="0" borderId="0" xfId="1" applyNumberFormat="1" applyFont="1" applyFill="1" applyBorder="1"/>
    <xf numFmtId="0" fontId="17" fillId="0" borderId="21" xfId="0" applyFont="1" applyBorder="1" applyAlignment="1">
      <alignment horizontal="left"/>
    </xf>
    <xf numFmtId="0" fontId="17" fillId="0" borderId="22" xfId="0" applyFont="1" applyBorder="1" applyAlignment="1">
      <alignment horizontal="left"/>
    </xf>
    <xf numFmtId="166" fontId="17" fillId="0" borderId="22" xfId="0" applyNumberFormat="1" applyFont="1" applyBorder="1" applyAlignment="1">
      <alignment horizontal="center"/>
    </xf>
    <xf numFmtId="0" fontId="17" fillId="0" borderId="0" xfId="0" applyFont="1" applyAlignment="1">
      <alignment horizontal="center"/>
    </xf>
    <xf numFmtId="166" fontId="17" fillId="0" borderId="0" xfId="0" applyNumberFormat="1" applyFont="1" applyAlignment="1">
      <alignment horizontal="center"/>
    </xf>
    <xf numFmtId="0" fontId="17" fillId="15" borderId="0" xfId="3" applyFont="1" applyBorder="1" applyAlignment="1">
      <alignment horizontal="left"/>
    </xf>
    <xf numFmtId="0" fontId="17" fillId="15" borderId="0" xfId="3" applyFont="1" applyBorder="1" applyAlignment="1">
      <alignment horizontal="center"/>
    </xf>
    <xf numFmtId="166" fontId="17" fillId="15" borderId="0" xfId="3" applyNumberFormat="1" applyFont="1" applyBorder="1" applyAlignment="1">
      <alignment horizontal="left"/>
    </xf>
    <xf numFmtId="0" fontId="22" fillId="0" borderId="0" xfId="0" applyFont="1"/>
    <xf numFmtId="0" fontId="23" fillId="0" borderId="0" xfId="5" applyFont="1" applyFill="1" applyBorder="1" applyAlignment="1">
      <alignment horizontal="center"/>
    </xf>
    <xf numFmtId="0" fontId="17" fillId="0" borderId="0" xfId="5" applyFont="1" applyFill="1" applyBorder="1" applyAlignment="1">
      <alignment horizontal="center"/>
    </xf>
    <xf numFmtId="166" fontId="1" fillId="0" borderId="0" xfId="5" applyNumberFormat="1" applyFill="1" applyBorder="1" applyAlignment="1">
      <alignment horizontal="center"/>
    </xf>
    <xf numFmtId="0" fontId="24" fillId="0" borderId="0" xfId="0" applyFont="1"/>
    <xf numFmtId="166" fontId="17" fillId="0" borderId="0" xfId="5" applyNumberFormat="1" applyFont="1" applyFill="1" applyBorder="1" applyAlignment="1">
      <alignment horizontal="center"/>
    </xf>
    <xf numFmtId="0" fontId="17" fillId="0" borderId="18" xfId="5" applyFont="1" applyFill="1" applyBorder="1" applyAlignment="1">
      <alignment horizontal="center"/>
    </xf>
    <xf numFmtId="166" fontId="1" fillId="0" borderId="0" xfId="0" applyNumberFormat="1" applyFont="1" applyAlignment="1">
      <alignment horizontal="center"/>
    </xf>
    <xf numFmtId="0" fontId="17" fillId="15" borderId="0" xfId="3" applyFont="1"/>
    <xf numFmtId="166" fontId="17" fillId="15" borderId="0" xfId="3" applyNumberFormat="1" applyFont="1"/>
    <xf numFmtId="44" fontId="1" fillId="0" borderId="0" xfId="0" applyNumberFormat="1" applyFont="1"/>
    <xf numFmtId="166" fontId="17" fillId="0" borderId="3" xfId="0" applyNumberFormat="1" applyFont="1" applyBorder="1"/>
    <xf numFmtId="0" fontId="17" fillId="0" borderId="0" xfId="0" applyFont="1" applyAlignment="1">
      <alignment horizontal="left"/>
    </xf>
    <xf numFmtId="166" fontId="17" fillId="0" borderId="0" xfId="0" applyNumberFormat="1" applyFont="1" applyAlignment="1">
      <alignment horizontal="left"/>
    </xf>
    <xf numFmtId="165" fontId="1" fillId="0" borderId="0" xfId="1" applyFont="1" applyBorder="1" applyAlignment="1">
      <alignment horizontal="left"/>
    </xf>
    <xf numFmtId="0" fontId="1" fillId="0" borderId="0" xfId="0" applyFont="1" applyAlignment="1">
      <alignment horizontal="right"/>
    </xf>
    <xf numFmtId="166" fontId="1" fillId="0" borderId="0" xfId="0" applyNumberFormat="1" applyFont="1" applyAlignment="1">
      <alignment horizontal="left"/>
    </xf>
    <xf numFmtId="165" fontId="1" fillId="0" borderId="0" xfId="1" applyFont="1" applyAlignment="1">
      <alignment horizontal="left"/>
    </xf>
    <xf numFmtId="0" fontId="17" fillId="0" borderId="19" xfId="0" applyFont="1" applyBorder="1" applyAlignment="1">
      <alignment horizontal="left"/>
    </xf>
    <xf numFmtId="166" fontId="25" fillId="0" borderId="3" xfId="0" applyNumberFormat="1" applyFont="1" applyBorder="1" applyAlignment="1">
      <alignment horizontal="left"/>
    </xf>
    <xf numFmtId="166" fontId="17" fillId="0" borderId="3" xfId="0" applyNumberFormat="1" applyFont="1" applyBorder="1" applyAlignment="1">
      <alignment horizontal="left"/>
    </xf>
    <xf numFmtId="166" fontId="1" fillId="0" borderId="21" xfId="0" applyNumberFormat="1" applyFont="1" applyBorder="1" applyAlignment="1">
      <alignment horizontal="left"/>
    </xf>
    <xf numFmtId="0" fontId="17" fillId="0" borderId="0" xfId="0" applyFont="1"/>
    <xf numFmtId="0" fontId="17" fillId="0" borderId="21" xfId="0" applyFont="1" applyBorder="1"/>
    <xf numFmtId="166" fontId="25" fillId="0" borderId="22" xfId="1" applyNumberFormat="1" applyFont="1" applyBorder="1"/>
    <xf numFmtId="166" fontId="17" fillId="0" borderId="0" xfId="1" applyNumberFormat="1" applyFont="1" applyBorder="1"/>
    <xf numFmtId="166" fontId="24" fillId="0" borderId="0" xfId="0" applyNumberFormat="1" applyFont="1"/>
    <xf numFmtId="44" fontId="24" fillId="0" borderId="0" xfId="0" applyNumberFormat="1" applyFont="1"/>
    <xf numFmtId="166" fontId="25" fillId="0" borderId="22" xfId="0" applyNumberFormat="1" applyFont="1" applyBorder="1"/>
    <xf numFmtId="0" fontId="1" fillId="9" borderId="22" xfId="4" applyFill="1" applyBorder="1"/>
    <xf numFmtId="0" fontId="23" fillId="0" borderId="0" xfId="0" applyFont="1" applyAlignment="1">
      <alignment horizontal="left"/>
    </xf>
    <xf numFmtId="165" fontId="1" fillId="0" borderId="0" xfId="0" applyNumberFormat="1" applyFont="1"/>
    <xf numFmtId="44" fontId="1" fillId="0" borderId="0" xfId="0" applyNumberFormat="1" applyFont="1" applyAlignment="1">
      <alignment horizontal="left"/>
    </xf>
    <xf numFmtId="165" fontId="17" fillId="0" borderId="19" xfId="1" applyFont="1" applyFill="1" applyBorder="1"/>
    <xf numFmtId="166" fontId="25" fillId="0" borderId="3" xfId="1" applyNumberFormat="1" applyFont="1" applyFill="1" applyBorder="1"/>
    <xf numFmtId="165" fontId="1" fillId="0" borderId="0" xfId="1" quotePrefix="1" applyFont="1" applyFill="1" applyBorder="1" applyAlignment="1">
      <alignment horizontal="right"/>
    </xf>
    <xf numFmtId="0" fontId="1" fillId="0" borderId="0" xfId="1" applyNumberFormat="1" applyFont="1" applyFill="1" applyBorder="1"/>
    <xf numFmtId="165" fontId="1" fillId="0" borderId="0" xfId="1" applyFont="1" applyFill="1" applyBorder="1"/>
    <xf numFmtId="166" fontId="25" fillId="0" borderId="19" xfId="0" applyNumberFormat="1" applyFont="1" applyBorder="1"/>
    <xf numFmtId="0" fontId="26" fillId="0" borderId="0" xfId="0" applyFont="1"/>
    <xf numFmtId="166" fontId="25" fillId="0" borderId="20" xfId="0" applyNumberFormat="1" applyFont="1" applyBorder="1"/>
    <xf numFmtId="166" fontId="17" fillId="0" borderId="0" xfId="0" applyNumberFormat="1" applyFont="1"/>
    <xf numFmtId="166" fontId="20" fillId="16" borderId="18" xfId="4" applyNumberFormat="1" applyFont="1" applyBorder="1" applyAlignment="1">
      <alignment horizontal="center"/>
    </xf>
    <xf numFmtId="0" fontId="27" fillId="0" borderId="0" xfId="0" applyFont="1"/>
    <xf numFmtId="166" fontId="25" fillId="0" borderId="0" xfId="0" applyNumberFormat="1" applyFont="1"/>
    <xf numFmtId="166" fontId="25" fillId="0" borderId="17" xfId="0" applyNumberFormat="1" applyFont="1" applyBorder="1" applyAlignment="1">
      <alignment horizontal="left"/>
    </xf>
    <xf numFmtId="166" fontId="25" fillId="0" borderId="0" xfId="1" applyNumberFormat="1" applyFont="1" applyFill="1" applyBorder="1"/>
    <xf numFmtId="0" fontId="17" fillId="0" borderId="0" xfId="5" applyFont="1" applyFill="1" applyAlignment="1">
      <alignment horizontal="center"/>
    </xf>
    <xf numFmtId="166" fontId="17" fillId="0" borderId="0" xfId="3" applyNumberFormat="1" applyFont="1" applyFill="1" applyBorder="1"/>
    <xf numFmtId="166" fontId="1" fillId="0" borderId="0" xfId="1" applyNumberFormat="1" applyFont="1" applyFill="1"/>
    <xf numFmtId="166" fontId="17" fillId="0" borderId="0" xfId="1" applyNumberFormat="1" applyFont="1" applyFill="1" applyBorder="1"/>
    <xf numFmtId="166" fontId="17" fillId="0" borderId="0" xfId="3" applyNumberFormat="1" applyFont="1" applyFill="1" applyBorder="1" applyAlignment="1">
      <alignment horizontal="left"/>
    </xf>
    <xf numFmtId="166" fontId="20" fillId="0" borderId="0" xfId="4" applyNumberFormat="1" applyFont="1" applyFill="1" applyBorder="1" applyAlignment="1">
      <alignment horizontal="center"/>
    </xf>
    <xf numFmtId="166" fontId="17" fillId="0" borderId="0" xfId="3" applyNumberFormat="1" applyFont="1" applyFill="1"/>
    <xf numFmtId="166" fontId="25" fillId="0" borderId="0" xfId="0" applyNumberFormat="1" applyFont="1" applyAlignment="1">
      <alignment horizontal="left"/>
    </xf>
    <xf numFmtId="166" fontId="17" fillId="0" borderId="0" xfId="4" applyNumberFormat="1" applyFont="1" applyFill="1" applyBorder="1"/>
    <xf numFmtId="0" fontId="17" fillId="0" borderId="23" xfId="0" applyFont="1" applyBorder="1" applyAlignment="1">
      <alignment horizontal="left"/>
    </xf>
    <xf numFmtId="165" fontId="1" fillId="0" borderId="0" xfId="1" applyFont="1" applyBorder="1"/>
    <xf numFmtId="166" fontId="14" fillId="0" borderId="0" xfId="3" applyNumberFormat="1" applyFont="1" applyFill="1"/>
    <xf numFmtId="0" fontId="14" fillId="0" borderId="22" xfId="0" applyFont="1" applyBorder="1"/>
    <xf numFmtId="166" fontId="17" fillId="0" borderId="22" xfId="1" applyNumberFormat="1" applyFont="1" applyFill="1" applyBorder="1"/>
    <xf numFmtId="166" fontId="27" fillId="9" borderId="0" xfId="3" applyNumberFormat="1" applyFont="1" applyFill="1"/>
    <xf numFmtId="166" fontId="17" fillId="9" borderId="0" xfId="3" applyNumberFormat="1" applyFont="1" applyFill="1"/>
    <xf numFmtId="0" fontId="1" fillId="0" borderId="23" xfId="0" applyFont="1" applyBorder="1"/>
    <xf numFmtId="166" fontId="1" fillId="0" borderId="23" xfId="0" applyNumberFormat="1" applyFont="1" applyBorder="1" applyAlignment="1">
      <alignment horizontal="left"/>
    </xf>
    <xf numFmtId="0" fontId="28" fillId="0" borderId="0" xfId="0" applyFont="1"/>
    <xf numFmtId="166" fontId="25" fillId="0" borderId="3" xfId="0" applyNumberFormat="1" applyFont="1" applyBorder="1"/>
    <xf numFmtId="0" fontId="29" fillId="0" borderId="0" xfId="0" applyFont="1"/>
    <xf numFmtId="0" fontId="1" fillId="8" borderId="0" xfId="0" applyFont="1" applyFill="1"/>
    <xf numFmtId="8" fontId="1" fillId="0" borderId="0" xfId="0" applyNumberFormat="1" applyFont="1"/>
    <xf numFmtId="166" fontId="25" fillId="0" borderId="19" xfId="0" applyNumberFormat="1" applyFont="1" applyBorder="1" applyAlignment="1">
      <alignment horizontal="left"/>
    </xf>
    <xf numFmtId="0" fontId="23" fillId="0" borderId="0" xfId="0" applyFont="1"/>
    <xf numFmtId="0" fontId="1" fillId="0" borderId="0" xfId="5" applyFill="1" applyBorder="1" applyAlignment="1">
      <alignment horizontal="left"/>
    </xf>
    <xf numFmtId="0" fontId="27" fillId="20" borderId="0" xfId="0" applyFont="1" applyFill="1"/>
    <xf numFmtId="0" fontId="1" fillId="20" borderId="0" xfId="0" applyFont="1" applyFill="1"/>
    <xf numFmtId="166" fontId="1" fillId="20" borderId="0" xfId="0" applyNumberFormat="1" applyFont="1" applyFill="1"/>
    <xf numFmtId="0" fontId="1" fillId="20" borderId="0" xfId="1" applyNumberFormat="1" applyFont="1" applyFill="1" applyBorder="1"/>
    <xf numFmtId="166" fontId="17" fillId="20" borderId="0" xfId="1" applyNumberFormat="1" applyFont="1" applyFill="1" applyBorder="1"/>
    <xf numFmtId="0" fontId="4" fillId="0" borderId="1" xfId="0" applyFont="1" applyBorder="1" applyAlignment="1">
      <alignment horizontal="center"/>
    </xf>
    <xf numFmtId="0" fontId="11" fillId="13" borderId="7" xfId="0" applyFont="1" applyFill="1" applyBorder="1" applyAlignment="1">
      <alignment horizontal="center"/>
    </xf>
    <xf numFmtId="0" fontId="11" fillId="13" borderId="0" xfId="0" applyFont="1" applyFill="1" applyAlignment="1">
      <alignment horizontal="center"/>
    </xf>
    <xf numFmtId="0" fontId="6" fillId="2" borderId="7" xfId="0" applyFont="1" applyFill="1" applyBorder="1" applyAlignment="1">
      <alignment horizontal="center"/>
    </xf>
    <xf numFmtId="0" fontId="6" fillId="2" borderId="0" xfId="0" applyFont="1" applyFill="1" applyAlignment="1">
      <alignment horizontal="center"/>
    </xf>
    <xf numFmtId="0" fontId="6" fillId="12" borderId="7" xfId="0" applyFont="1" applyFill="1" applyBorder="1" applyAlignment="1">
      <alignment horizontal="center"/>
    </xf>
    <xf numFmtId="0" fontId="6" fillId="12" borderId="0" xfId="0" applyFont="1" applyFill="1" applyAlignment="1">
      <alignment horizontal="center"/>
    </xf>
    <xf numFmtId="0" fontId="5" fillId="5" borderId="16" xfId="0" applyFont="1" applyFill="1" applyBorder="1" applyAlignment="1">
      <alignment horizontal="left"/>
    </xf>
    <xf numFmtId="0" fontId="3" fillId="11" borderId="14" xfId="0" applyFont="1" applyFill="1" applyBorder="1" applyAlignment="1">
      <alignment horizontal="center"/>
    </xf>
    <xf numFmtId="0" fontId="3" fillId="11" borderId="6" xfId="0" applyFont="1" applyFill="1" applyBorder="1" applyAlignment="1">
      <alignment horizontal="center"/>
    </xf>
    <xf numFmtId="0" fontId="3" fillId="11" borderId="13" xfId="0" applyFont="1" applyFill="1" applyBorder="1" applyAlignment="1">
      <alignment horizontal="center"/>
    </xf>
    <xf numFmtId="0" fontId="3" fillId="11" borderId="5" xfId="0" applyFont="1" applyFill="1" applyBorder="1" applyAlignment="1">
      <alignment horizontal="center"/>
    </xf>
    <xf numFmtId="0" fontId="4" fillId="5" borderId="10" xfId="0" applyFont="1" applyFill="1" applyBorder="1" applyAlignment="1">
      <alignment horizontal="center"/>
    </xf>
    <xf numFmtId="0" fontId="5" fillId="5" borderId="11" xfId="0" applyFont="1" applyFill="1" applyBorder="1" applyAlignment="1">
      <alignment horizontal="center" wrapText="1"/>
    </xf>
    <xf numFmtId="0" fontId="10" fillId="5" borderId="10" xfId="0" applyFont="1" applyFill="1" applyBorder="1" applyAlignment="1">
      <alignment horizontal="center" wrapText="1"/>
    </xf>
    <xf numFmtId="0" fontId="10" fillId="5" borderId="7" xfId="0" applyFont="1" applyFill="1" applyBorder="1" applyAlignment="1">
      <alignment horizontal="center" wrapText="1"/>
    </xf>
    <xf numFmtId="0" fontId="5" fillId="2" borderId="1" xfId="0" applyFont="1" applyFill="1" applyBorder="1" applyAlignment="1">
      <alignment horizontal="left"/>
    </xf>
    <xf numFmtId="0" fontId="6" fillId="5" borderId="1" xfId="0" applyFont="1" applyFill="1" applyBorder="1" applyAlignment="1">
      <alignment horizontal="left"/>
    </xf>
    <xf numFmtId="0" fontId="6" fillId="5" borderId="4" xfId="0" applyFont="1" applyFill="1" applyBorder="1" applyAlignment="1">
      <alignment horizontal="left"/>
    </xf>
    <xf numFmtId="0" fontId="6" fillId="5" borderId="2" xfId="0" applyFont="1" applyFill="1" applyBorder="1" applyAlignment="1">
      <alignment horizontal="left"/>
    </xf>
    <xf numFmtId="0" fontId="6" fillId="5" borderId="1" xfId="0" quotePrefix="1" applyFont="1" applyFill="1" applyBorder="1" applyAlignment="1">
      <alignment horizontal="left"/>
    </xf>
    <xf numFmtId="0" fontId="14" fillId="0" borderId="17" xfId="0" applyFont="1" applyBorder="1" applyAlignment="1">
      <alignment horizontal="left"/>
    </xf>
    <xf numFmtId="0" fontId="14" fillId="12" borderId="0" xfId="0" applyFont="1" applyFill="1" applyAlignment="1">
      <alignment horizontal="center"/>
    </xf>
    <xf numFmtId="0" fontId="14" fillId="14" borderId="0" xfId="2" applyFont="1" applyAlignment="1">
      <alignment horizontal="center"/>
    </xf>
    <xf numFmtId="0" fontId="14" fillId="17" borderId="0" xfId="5" applyFont="1" applyAlignment="1">
      <alignment horizontal="center"/>
    </xf>
    <xf numFmtId="0" fontId="14" fillId="18" borderId="0" xfId="0" applyFont="1" applyFill="1" applyAlignment="1">
      <alignment horizontal="center"/>
    </xf>
    <xf numFmtId="0" fontId="13" fillId="13" borderId="0" xfId="0" applyFont="1" applyFill="1" applyAlignment="1">
      <alignment horizontal="center"/>
    </xf>
    <xf numFmtId="0" fontId="14" fillId="2" borderId="0" xfId="0" applyFont="1" applyFill="1" applyAlignment="1">
      <alignment horizontal="center"/>
    </xf>
    <xf numFmtId="0" fontId="14" fillId="0" borderId="0" xfId="0" applyFont="1" applyAlignment="1">
      <alignment horizontal="left"/>
    </xf>
    <xf numFmtId="0" fontId="14" fillId="0" borderId="23" xfId="0" applyFont="1" applyBorder="1" applyAlignment="1">
      <alignment horizontal="left"/>
    </xf>
    <xf numFmtId="0" fontId="17" fillId="0" borderId="17" xfId="0" applyFont="1" applyBorder="1" applyAlignment="1">
      <alignment horizontal="left"/>
    </xf>
    <xf numFmtId="0" fontId="17" fillId="17" borderId="0" xfId="5" applyFont="1" applyAlignment="1">
      <alignment horizontal="center"/>
    </xf>
    <xf numFmtId="0" fontId="17" fillId="0" borderId="23" xfId="0" applyFont="1" applyBorder="1" applyAlignment="1">
      <alignment horizontal="left"/>
    </xf>
    <xf numFmtId="0" fontId="17" fillId="18" borderId="0" xfId="0" applyFont="1" applyFill="1" applyAlignment="1">
      <alignment horizontal="center"/>
    </xf>
    <xf numFmtId="0" fontId="17" fillId="0" borderId="0" xfId="0" applyFont="1" applyAlignment="1">
      <alignment horizontal="left"/>
    </xf>
    <xf numFmtId="0" fontId="21" fillId="13" borderId="0" xfId="0" applyFont="1" applyFill="1" applyAlignment="1">
      <alignment horizontal="center"/>
    </xf>
    <xf numFmtId="0" fontId="17" fillId="2" borderId="0" xfId="0" applyFont="1" applyFill="1" applyAlignment="1">
      <alignment horizontal="center"/>
    </xf>
    <xf numFmtId="0" fontId="17" fillId="12" borderId="0" xfId="0" applyFont="1" applyFill="1" applyAlignment="1">
      <alignment horizontal="center"/>
    </xf>
    <xf numFmtId="0" fontId="17" fillId="14" borderId="0" xfId="2" applyFont="1" applyAlignment="1">
      <alignment horizontal="center"/>
    </xf>
    <xf numFmtId="0" fontId="7" fillId="0" borderId="15" xfId="0" applyFont="1" applyBorder="1" applyAlignment="1"/>
    <xf numFmtId="0" fontId="7" fillId="0" borderId="12" xfId="0" applyFont="1" applyBorder="1" applyAlignment="1"/>
    <xf numFmtId="0" fontId="7" fillId="0" borderId="7" xfId="0" applyFont="1" applyBorder="1" applyAlignment="1"/>
    <xf numFmtId="0" fontId="7" fillId="0" borderId="9" xfId="0" applyFont="1" applyBorder="1" applyAlignment="1"/>
    <xf numFmtId="0" fontId="7" fillId="0" borderId="8" xfId="0" applyFont="1" applyBorder="1" applyAlignment="1"/>
    <xf numFmtId="0" fontId="7" fillId="0" borderId="1" xfId="0" applyFont="1" applyBorder="1" applyAlignment="1"/>
  </cellXfs>
  <cellStyles count="6">
    <cellStyle name="20% - Accent5" xfId="3" builtinId="46"/>
    <cellStyle name="40% - Accent5" xfId="4" builtinId="47"/>
    <cellStyle name="60% - Accent5" xfId="5" builtinId="48"/>
    <cellStyle name="Accent5" xfId="2" builtinId="45"/>
    <cellStyle name="Currency"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Lucas Greville" id="{193A6B94-AA2B-4248-9BCA-A5CBFF29D544}" userId="S::lgrevill@uwaterloo.ca::b506b34c-443f-4eb7-ad8e-844d16ea913f" providerId="AD"/>
  <person displayName="Michela Contursi" id="{3E49A971-CD40-4F72-AF4E-003D2423726A}" userId="S::mconturs@uwaterloo.ca::88268ec8-3eb7-464e-90d8-c8a6ea09865a"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H17" dT="2024-05-24T18:32:52.20" personId="{3E49A971-CD40-4F72-AF4E-003D2423726A}" id="{4F9C7280-D93D-42CA-87E5-F2F883B8B56E}">
    <text>This is extra from what we initially budgeted? Is that what this means?</text>
  </threadedComment>
  <threadedComment ref="H17" dT="2024-05-24T19:38:18.05" personId="{193A6B94-AA2B-4248-9BCA-A5CBFF29D544}" id="{249958AA-F491-417B-BEE1-92B1A0DDAF68}" parentId="{4F9C7280-D93D-42CA-87E5-F2F883B8B56E}">
    <text>We had $5871.56 to cover UWaterloo students to attend for free. we had 28 students use this money (20 grad, 8 undergrad). 28 at $150.44 per person is 4212.32 used out of the $5871.46 allotted. Remainder is $1659.14</text>
  </threadedComment>
  <threadedComment ref="H61" dT="2024-05-24T18:42:56.29" personId="{3E49A971-CD40-4F72-AF4E-003D2423726A}" id="{BA95ECA1-2E96-44C3-B163-522EA8AC88C3}">
    <text>should we try and standardize this for the final budget?</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0A8F92-9ED4-3F43-B3F2-F72F37331355}">
  <dimension ref="A1:K91"/>
  <sheetViews>
    <sheetView zoomScale="136" zoomScaleNormal="88" workbookViewId="0">
      <selection activeCell="A45" sqref="A45"/>
    </sheetView>
  </sheetViews>
  <sheetFormatPr defaultColWidth="8.85546875" defaultRowHeight="14.1"/>
  <cols>
    <col min="1" max="1" width="32.28515625" style="1" customWidth="1"/>
    <col min="2" max="2" width="49.85546875" style="1" customWidth="1"/>
    <col min="3" max="3" width="37.85546875" style="1" customWidth="1"/>
    <col min="4" max="4" width="32.42578125" style="1" customWidth="1"/>
    <col min="5" max="5" width="23.42578125" style="1" customWidth="1"/>
    <col min="6" max="6" width="8.7109375" style="1" customWidth="1"/>
    <col min="7" max="7" width="38.7109375" style="1" customWidth="1"/>
    <col min="8" max="8" width="9.85546875" style="1" bestFit="1" customWidth="1"/>
    <col min="9" max="16384" width="8.85546875" style="1"/>
  </cols>
  <sheetData>
    <row r="1" spans="1:7" ht="15" customHeight="1">
      <c r="A1" s="239" t="s">
        <v>0</v>
      </c>
      <c r="B1" s="240"/>
      <c r="C1" s="240"/>
      <c r="D1" s="240"/>
      <c r="E1" s="240"/>
      <c r="F1" s="240"/>
      <c r="G1" s="240"/>
    </row>
    <row r="2" spans="1:7" ht="15" customHeight="1">
      <c r="A2" s="241" t="s">
        <v>1</v>
      </c>
      <c r="B2" s="242"/>
      <c r="C2" s="242"/>
      <c r="D2" s="242"/>
      <c r="E2" s="242"/>
      <c r="F2" s="242"/>
      <c r="G2" s="242"/>
    </row>
    <row r="3" spans="1:7" ht="15" customHeight="1">
      <c r="A3" s="243" t="s">
        <v>2</v>
      </c>
      <c r="B3" s="244"/>
      <c r="C3" s="244"/>
      <c r="D3" s="244"/>
      <c r="E3" s="244"/>
      <c r="F3" s="48"/>
      <c r="G3" s="47"/>
    </row>
    <row r="4" spans="1:7" ht="15.95">
      <c r="A4" s="245" t="s">
        <v>3</v>
      </c>
      <c r="B4" s="277"/>
      <c r="C4" s="45">
        <v>0</v>
      </c>
      <c r="D4" s="45">
        <v>0</v>
      </c>
      <c r="E4" s="246" t="s">
        <v>4</v>
      </c>
      <c r="F4" s="46"/>
      <c r="G4" s="248" t="s">
        <v>5</v>
      </c>
    </row>
    <row r="5" spans="1:7">
      <c r="A5" s="250"/>
      <c r="B5" s="278"/>
      <c r="C5" s="251" t="s">
        <v>6</v>
      </c>
      <c r="D5" s="252" t="s">
        <v>7</v>
      </c>
      <c r="E5" s="247"/>
      <c r="F5" s="44"/>
      <c r="G5" s="249"/>
    </row>
    <row r="6" spans="1:7">
      <c r="A6" s="279"/>
      <c r="B6" s="280"/>
      <c r="C6" s="281"/>
      <c r="D6" s="253"/>
      <c r="E6" s="247"/>
      <c r="F6" s="44"/>
      <c r="G6" s="249"/>
    </row>
    <row r="7" spans="1:7" ht="15.95">
      <c r="A7" s="254" t="s">
        <v>8</v>
      </c>
      <c r="B7" s="254"/>
      <c r="C7" s="254"/>
      <c r="D7" s="254"/>
      <c r="E7" s="254"/>
      <c r="F7" s="254"/>
      <c r="G7" s="254"/>
    </row>
    <row r="8" spans="1:7" ht="15" customHeight="1">
      <c r="A8" s="255" t="s">
        <v>9</v>
      </c>
      <c r="B8" s="255"/>
      <c r="C8" s="255"/>
      <c r="D8" s="255"/>
      <c r="E8" s="255"/>
      <c r="F8" s="255"/>
      <c r="G8" s="255"/>
    </row>
    <row r="9" spans="1:7" ht="15.95">
      <c r="A9" s="43"/>
      <c r="B9" s="18" t="s">
        <v>10</v>
      </c>
      <c r="C9" s="13">
        <v>12000</v>
      </c>
      <c r="D9" s="13">
        <v>0</v>
      </c>
    </row>
    <row r="10" spans="1:7" ht="15.95">
      <c r="A10" s="4"/>
      <c r="B10" s="18" t="s">
        <v>11</v>
      </c>
      <c r="C10" s="13">
        <v>1000</v>
      </c>
      <c r="D10" s="22">
        <v>0</v>
      </c>
    </row>
    <row r="11" spans="1:7" ht="15.95">
      <c r="A11" s="4"/>
      <c r="B11" s="18" t="s">
        <v>12</v>
      </c>
      <c r="C11" s="13">
        <v>750</v>
      </c>
      <c r="D11" s="22">
        <v>0</v>
      </c>
    </row>
    <row r="12" spans="1:7" ht="15.95">
      <c r="A12" s="4"/>
      <c r="B12" s="4" t="s">
        <v>13</v>
      </c>
      <c r="C12" s="22">
        <v>300</v>
      </c>
      <c r="D12" s="22">
        <v>0</v>
      </c>
    </row>
    <row r="13" spans="1:7" ht="15.95">
      <c r="A13" s="4"/>
      <c r="B13" s="4" t="s">
        <v>14</v>
      </c>
      <c r="C13" s="22">
        <v>500</v>
      </c>
      <c r="D13" s="22">
        <v>0</v>
      </c>
    </row>
    <row r="14" spans="1:7" ht="15.95">
      <c r="A14" s="4"/>
      <c r="B14" s="4" t="s">
        <v>15</v>
      </c>
      <c r="C14" s="22">
        <v>1000</v>
      </c>
      <c r="D14" s="22">
        <v>0</v>
      </c>
    </row>
    <row r="15" spans="1:7" ht="15.95">
      <c r="A15" s="4"/>
      <c r="B15" s="4" t="s">
        <v>16</v>
      </c>
      <c r="C15" s="22">
        <v>5000</v>
      </c>
      <c r="D15" s="22">
        <v>0</v>
      </c>
    </row>
    <row r="16" spans="1:7" ht="15.95">
      <c r="A16" s="4"/>
      <c r="B16" s="4" t="s">
        <v>17</v>
      </c>
      <c r="C16" s="22">
        <v>5000</v>
      </c>
      <c r="D16" s="13">
        <v>0</v>
      </c>
    </row>
    <row r="17" spans="1:5" ht="15.95">
      <c r="A17" s="4"/>
      <c r="B17" s="4" t="s">
        <v>18</v>
      </c>
      <c r="C17" s="13">
        <v>150</v>
      </c>
      <c r="D17" s="13">
        <v>0</v>
      </c>
    </row>
    <row r="18" spans="1:5" ht="15.95">
      <c r="A18" s="4"/>
      <c r="B18" s="4" t="s">
        <v>19</v>
      </c>
      <c r="C18" s="13">
        <v>300</v>
      </c>
      <c r="D18" s="13">
        <v>0</v>
      </c>
    </row>
    <row r="19" spans="1:5" ht="15.95">
      <c r="A19" s="4"/>
      <c r="B19" s="4" t="s">
        <v>20</v>
      </c>
      <c r="C19" s="7">
        <v>200</v>
      </c>
      <c r="D19" s="7"/>
    </row>
    <row r="20" spans="1:5" ht="15.95">
      <c r="A20" s="4"/>
      <c r="B20" s="38" t="s">
        <v>21</v>
      </c>
      <c r="C20" s="40">
        <f>SUM(C9:C19)</f>
        <v>26200</v>
      </c>
      <c r="D20" s="7">
        <f>SUM(D9:D19)</f>
        <v>0</v>
      </c>
    </row>
    <row r="21" spans="1:5" ht="15.95">
      <c r="A21" s="255" t="s">
        <v>22</v>
      </c>
      <c r="B21" s="282"/>
      <c r="C21" s="282"/>
      <c r="D21" s="282"/>
    </row>
    <row r="22" spans="1:5" ht="15.95">
      <c r="A22" s="43"/>
      <c r="B22" s="18" t="s">
        <v>23</v>
      </c>
      <c r="C22" s="13">
        <v>300</v>
      </c>
      <c r="D22" s="13">
        <v>0</v>
      </c>
      <c r="E22" s="1" t="s">
        <v>24</v>
      </c>
    </row>
    <row r="23" spans="1:5" ht="15.95">
      <c r="A23" s="43"/>
      <c r="B23" s="18" t="s">
        <v>25</v>
      </c>
      <c r="C23" s="13">
        <v>500</v>
      </c>
      <c r="D23" s="13">
        <v>0</v>
      </c>
    </row>
    <row r="24" spans="1:5" ht="15.95">
      <c r="A24" s="43"/>
      <c r="B24" s="18" t="s">
        <v>26</v>
      </c>
      <c r="C24" s="13">
        <v>500</v>
      </c>
      <c r="D24" s="13">
        <v>0</v>
      </c>
    </row>
    <row r="25" spans="1:5" ht="15.95">
      <c r="A25" s="43"/>
      <c r="B25" s="18" t="s">
        <v>27</v>
      </c>
      <c r="C25" s="13">
        <v>3350</v>
      </c>
      <c r="D25" s="13">
        <v>0</v>
      </c>
    </row>
    <row r="26" spans="1:5" ht="15.95">
      <c r="A26" s="43"/>
      <c r="B26" s="18" t="s">
        <v>28</v>
      </c>
      <c r="C26" s="13">
        <v>300</v>
      </c>
      <c r="D26" s="13">
        <v>0</v>
      </c>
    </row>
    <row r="27" spans="1:5" ht="15.95">
      <c r="A27" s="4"/>
      <c r="B27" s="4" t="s">
        <v>29</v>
      </c>
      <c r="C27" s="22">
        <v>300</v>
      </c>
      <c r="D27" s="22"/>
    </row>
    <row r="28" spans="1:5" ht="15.95">
      <c r="A28" s="4"/>
      <c r="B28" s="38" t="s">
        <v>21</v>
      </c>
      <c r="C28" s="37">
        <f>SUM(C22:C27)</f>
        <v>5250</v>
      </c>
      <c r="D28" s="22">
        <f>SUM(D22:D26)</f>
        <v>0</v>
      </c>
    </row>
    <row r="29" spans="1:5" ht="15.95">
      <c r="A29" s="256"/>
      <c r="B29" s="257"/>
      <c r="C29" s="42"/>
      <c r="D29" s="42"/>
    </row>
    <row r="30" spans="1:5" ht="15.95">
      <c r="A30" s="4"/>
      <c r="B30" s="4"/>
      <c r="C30" s="7"/>
      <c r="D30" s="7"/>
    </row>
    <row r="31" spans="1:5" ht="15.95">
      <c r="A31" s="4"/>
      <c r="B31" s="4"/>
      <c r="C31" s="7"/>
      <c r="D31" s="41"/>
    </row>
    <row r="32" spans="1:5" ht="15.95">
      <c r="A32" s="4"/>
      <c r="B32" s="4"/>
      <c r="C32" s="7"/>
      <c r="D32" s="7"/>
    </row>
    <row r="33" spans="1:4" ht="15.95">
      <c r="A33" s="4"/>
      <c r="B33" s="38"/>
      <c r="C33" s="40"/>
      <c r="D33" s="7"/>
    </row>
    <row r="34" spans="1:4" ht="15.95">
      <c r="A34" s="255" t="s">
        <v>30</v>
      </c>
      <c r="B34" s="282"/>
      <c r="C34" s="282"/>
      <c r="D34" s="282"/>
    </row>
    <row r="35" spans="1:4" ht="15.95">
      <c r="A35" s="4">
        <v>73</v>
      </c>
      <c r="B35" s="39">
        <v>0</v>
      </c>
      <c r="C35" s="22">
        <f t="shared" ref="C35:C41" si="0">A35*D35</f>
        <v>0</v>
      </c>
      <c r="D35" s="22">
        <v>0</v>
      </c>
    </row>
    <row r="36" spans="1:4" ht="15.95">
      <c r="A36" s="4">
        <v>19</v>
      </c>
      <c r="B36" s="22">
        <v>200</v>
      </c>
      <c r="C36" s="22">
        <f t="shared" si="0"/>
        <v>3800</v>
      </c>
      <c r="D36" s="22">
        <v>200</v>
      </c>
    </row>
    <row r="37" spans="1:4" ht="15.95">
      <c r="A37" s="4">
        <v>1</v>
      </c>
      <c r="B37" s="22">
        <v>220</v>
      </c>
      <c r="C37" s="22">
        <f t="shared" si="0"/>
        <v>220</v>
      </c>
      <c r="D37" s="22">
        <v>220</v>
      </c>
    </row>
    <row r="38" spans="1:4" ht="15.95">
      <c r="A38" s="4">
        <v>5</v>
      </c>
      <c r="B38" s="22">
        <v>250</v>
      </c>
      <c r="C38" s="22">
        <f t="shared" si="0"/>
        <v>1250</v>
      </c>
      <c r="D38" s="22">
        <v>250</v>
      </c>
    </row>
    <row r="39" spans="1:4" ht="15.95">
      <c r="A39" s="4">
        <v>47</v>
      </c>
      <c r="B39" s="22">
        <v>225</v>
      </c>
      <c r="C39" s="22">
        <f t="shared" si="0"/>
        <v>10575</v>
      </c>
      <c r="D39" s="22">
        <v>225</v>
      </c>
    </row>
    <row r="40" spans="1:4" ht="15.95">
      <c r="A40" s="4">
        <v>2</v>
      </c>
      <c r="B40" s="22">
        <v>250</v>
      </c>
      <c r="C40" s="22">
        <f t="shared" si="0"/>
        <v>500</v>
      </c>
      <c r="D40" s="22">
        <v>250</v>
      </c>
    </row>
    <row r="41" spans="1:4" ht="15.95">
      <c r="A41" s="4">
        <v>13</v>
      </c>
      <c r="B41" s="22">
        <v>280</v>
      </c>
      <c r="C41" s="22">
        <f t="shared" si="0"/>
        <v>3640</v>
      </c>
      <c r="D41" s="22">
        <v>280</v>
      </c>
    </row>
    <row r="42" spans="1:4" ht="15.95">
      <c r="A42" s="4"/>
      <c r="B42" s="38" t="s">
        <v>31</v>
      </c>
      <c r="C42" s="37">
        <v>22583.05</v>
      </c>
      <c r="D42" s="22">
        <f>SUM(C36:C41)</f>
        <v>19985</v>
      </c>
    </row>
    <row r="43" spans="1:4" ht="15.95">
      <c r="A43" s="4"/>
      <c r="B43" s="18" t="s">
        <v>32</v>
      </c>
      <c r="C43" s="22">
        <v>20000</v>
      </c>
      <c r="D43" s="22"/>
    </row>
    <row r="44" spans="1:4" ht="15.95">
      <c r="A44" s="4">
        <f>SUM(A35:A41)</f>
        <v>160</v>
      </c>
      <c r="B44" s="38" t="s">
        <v>21</v>
      </c>
      <c r="C44" s="37">
        <f>SUM(C42:C43)</f>
        <v>42583.05</v>
      </c>
      <c r="D44" s="22">
        <f>SUM(D35:D40)</f>
        <v>1145</v>
      </c>
    </row>
    <row r="45" spans="1:4" ht="15.95">
      <c r="A45" s="6" t="s">
        <v>33</v>
      </c>
      <c r="B45" s="6"/>
      <c r="C45" s="5">
        <f>SUM(C20, C28,C33,C44)</f>
        <v>74033.05</v>
      </c>
      <c r="D45" s="5">
        <f>SUM(D20,D28,D33,D44)</f>
        <v>1145</v>
      </c>
    </row>
    <row r="46" spans="1:4" ht="15.95">
      <c r="A46" s="238"/>
      <c r="B46" s="282"/>
      <c r="C46" s="282"/>
      <c r="D46" s="282"/>
    </row>
    <row r="47" spans="1:4" ht="15.95">
      <c r="A47" s="254" t="s">
        <v>34</v>
      </c>
      <c r="B47" s="282"/>
      <c r="C47" s="282"/>
      <c r="D47" s="282"/>
    </row>
    <row r="48" spans="1:4" ht="15.95">
      <c r="A48" s="255" t="s">
        <v>35</v>
      </c>
      <c r="B48" s="282"/>
      <c r="C48" s="7" t="s">
        <v>36</v>
      </c>
      <c r="D48" s="7">
        <v>0</v>
      </c>
    </row>
    <row r="49" spans="1:5" ht="15.95">
      <c r="A49" s="255" t="s">
        <v>37</v>
      </c>
      <c r="B49" s="282"/>
      <c r="C49" s="7">
        <v>0</v>
      </c>
      <c r="D49" s="7">
        <v>0</v>
      </c>
    </row>
    <row r="50" spans="1:5" ht="15.95">
      <c r="A50" s="255" t="s">
        <v>38</v>
      </c>
      <c r="B50" s="282"/>
      <c r="C50" s="7">
        <v>0</v>
      </c>
      <c r="D50" s="7">
        <v>0</v>
      </c>
    </row>
    <row r="51" spans="1:5" ht="15.95">
      <c r="A51" s="255" t="s">
        <v>39</v>
      </c>
      <c r="B51" s="282"/>
      <c r="C51" s="7">
        <v>0</v>
      </c>
      <c r="D51" s="7">
        <v>0</v>
      </c>
    </row>
    <row r="52" spans="1:5" ht="15.95">
      <c r="A52" s="255" t="s">
        <v>40</v>
      </c>
      <c r="B52" s="282"/>
      <c r="C52" s="7">
        <f>A44*20</f>
        <v>3200</v>
      </c>
      <c r="D52" s="7">
        <v>0</v>
      </c>
    </row>
    <row r="53" spans="1:5" ht="15.95">
      <c r="A53" s="255" t="s">
        <v>41</v>
      </c>
      <c r="B53" s="282"/>
      <c r="C53" s="282"/>
      <c r="D53" s="282"/>
    </row>
    <row r="54" spans="1:5" ht="15.95">
      <c r="A54" s="4"/>
      <c r="B54" s="4" t="s">
        <v>42</v>
      </c>
      <c r="C54" s="7">
        <v>100</v>
      </c>
      <c r="D54" s="7">
        <v>0</v>
      </c>
      <c r="E54" s="1" t="s">
        <v>43</v>
      </c>
    </row>
    <row r="55" spans="1:5" ht="15.95">
      <c r="A55" s="4"/>
      <c r="B55" s="4" t="s">
        <v>44</v>
      </c>
      <c r="C55" s="36">
        <f>22.95*155</f>
        <v>3557.25</v>
      </c>
      <c r="D55" s="7">
        <v>0</v>
      </c>
      <c r="E55" s="35" t="s">
        <v>45</v>
      </c>
    </row>
    <row r="56" spans="1:5" ht="15.95">
      <c r="A56" s="4"/>
      <c r="B56" s="4" t="s">
        <v>46</v>
      </c>
      <c r="C56" s="7">
        <v>0</v>
      </c>
      <c r="D56" s="7">
        <v>0</v>
      </c>
    </row>
    <row r="57" spans="1:5" ht="15.95">
      <c r="A57" s="4"/>
      <c r="B57" s="4" t="s">
        <v>47</v>
      </c>
      <c r="C57" s="7">
        <v>768.07</v>
      </c>
      <c r="D57" s="7">
        <v>0</v>
      </c>
    </row>
    <row r="58" spans="1:5" ht="15.95">
      <c r="A58" s="4"/>
      <c r="B58" s="31" t="s">
        <v>48</v>
      </c>
      <c r="C58" s="7">
        <v>750</v>
      </c>
      <c r="D58" s="7"/>
    </row>
    <row r="59" spans="1:5" ht="15.95">
      <c r="A59" s="4"/>
      <c r="B59" s="4" t="s">
        <v>21</v>
      </c>
      <c r="C59" s="7">
        <f>SUM(C54:C58)</f>
        <v>5175.32</v>
      </c>
      <c r="D59" s="7">
        <f>SUM(D54:D57)</f>
        <v>0</v>
      </c>
    </row>
    <row r="60" spans="1:5" ht="15.95">
      <c r="A60" s="255" t="s">
        <v>49</v>
      </c>
      <c r="B60" s="282"/>
      <c r="C60" s="282"/>
      <c r="D60" s="282"/>
    </row>
    <row r="61" spans="1:5" ht="15.95">
      <c r="A61" s="4"/>
      <c r="B61" s="4" t="s">
        <v>50</v>
      </c>
      <c r="C61" s="10">
        <v>0</v>
      </c>
      <c r="D61" s="10">
        <v>0</v>
      </c>
    </row>
    <row r="62" spans="1:5" ht="15.95">
      <c r="A62" s="4"/>
      <c r="B62" s="4" t="s">
        <v>51</v>
      </c>
      <c r="C62" s="10">
        <v>1200</v>
      </c>
      <c r="D62" s="10">
        <v>0</v>
      </c>
    </row>
    <row r="63" spans="1:5" ht="15.95">
      <c r="A63" s="4"/>
      <c r="B63" s="4" t="s">
        <v>52</v>
      </c>
      <c r="C63" s="10">
        <v>630</v>
      </c>
      <c r="D63" s="10"/>
      <c r="E63" s="1">
        <f>870-150</f>
        <v>720</v>
      </c>
    </row>
    <row r="64" spans="1:5" ht="15.95">
      <c r="A64" s="4"/>
      <c r="B64" s="4" t="s">
        <v>53</v>
      </c>
      <c r="C64" s="10">
        <f>(10*2)+60</f>
        <v>80</v>
      </c>
      <c r="D64" s="10">
        <v>0</v>
      </c>
      <c r="E64" s="1">
        <f>E63/60</f>
        <v>12</v>
      </c>
    </row>
    <row r="65" spans="1:11" ht="15.95">
      <c r="A65" s="4"/>
      <c r="B65" s="4" t="s">
        <v>54</v>
      </c>
      <c r="C65" s="10">
        <f>150*2</f>
        <v>300</v>
      </c>
      <c r="D65" s="10">
        <v>0</v>
      </c>
    </row>
    <row r="66" spans="1:11" ht="15.95">
      <c r="A66" s="4"/>
      <c r="B66" s="31" t="s">
        <v>55</v>
      </c>
      <c r="C66" s="10">
        <v>250</v>
      </c>
      <c r="D66" s="10"/>
    </row>
    <row r="67" spans="1:11" ht="15.95">
      <c r="A67" s="4"/>
      <c r="B67" s="4" t="s">
        <v>21</v>
      </c>
      <c r="C67" s="10">
        <f>SUM(C61:C66)</f>
        <v>2460</v>
      </c>
      <c r="D67" s="10">
        <f>SUM(D61:D65)</f>
        <v>0</v>
      </c>
    </row>
    <row r="68" spans="1:11">
      <c r="A68" s="33" t="s">
        <v>56</v>
      </c>
      <c r="B68" s="33"/>
      <c r="C68" s="34"/>
      <c r="D68" s="33"/>
      <c r="E68" s="1">
        <v>25</v>
      </c>
      <c r="F68" s="29" t="s">
        <v>57</v>
      </c>
      <c r="G68" s="28"/>
      <c r="H68" s="28"/>
      <c r="I68" s="28"/>
      <c r="J68" s="27"/>
    </row>
    <row r="69" spans="1:11" ht="15.95">
      <c r="A69" s="4"/>
      <c r="B69" s="4" t="s">
        <v>58</v>
      </c>
      <c r="C69" s="7">
        <f>31955.35</f>
        <v>31955.35</v>
      </c>
      <c r="D69" s="7">
        <v>0</v>
      </c>
      <c r="E69" s="32" t="s">
        <v>59</v>
      </c>
      <c r="F69" s="24" t="s">
        <v>60</v>
      </c>
      <c r="G69" s="26" t="s">
        <v>61</v>
      </c>
      <c r="H69" s="25">
        <v>16.05</v>
      </c>
      <c r="I69" s="24">
        <v>170</v>
      </c>
      <c r="J69" s="24">
        <f>H69*I69</f>
        <v>2728.5</v>
      </c>
      <c r="K69" s="1" t="s">
        <v>62</v>
      </c>
    </row>
    <row r="70" spans="1:11" ht="15.95">
      <c r="A70" s="4" t="s">
        <v>63</v>
      </c>
      <c r="B70" s="4" t="s">
        <v>64</v>
      </c>
      <c r="C70" s="7">
        <f>17.55*15</f>
        <v>263.25</v>
      </c>
      <c r="D70" s="7">
        <v>0</v>
      </c>
      <c r="F70" s="24" t="s">
        <v>65</v>
      </c>
      <c r="G70" s="26" t="s">
        <v>66</v>
      </c>
      <c r="H70" s="25">
        <v>3.35</v>
      </c>
      <c r="I70" s="24">
        <v>161</v>
      </c>
      <c r="J70" s="24">
        <f>H70*I70</f>
        <v>539.35</v>
      </c>
      <c r="K70" s="1" t="s">
        <v>62</v>
      </c>
    </row>
    <row r="71" spans="1:11" ht="15.95">
      <c r="A71" s="4" t="s">
        <v>67</v>
      </c>
      <c r="B71" s="4" t="s">
        <v>68</v>
      </c>
      <c r="C71" s="7">
        <f>28.6*170</f>
        <v>4862</v>
      </c>
      <c r="D71" s="7">
        <v>0</v>
      </c>
      <c r="F71" s="14"/>
      <c r="G71" s="16" t="s">
        <v>69</v>
      </c>
      <c r="H71" s="15"/>
      <c r="I71" s="14"/>
      <c r="J71" s="14"/>
    </row>
    <row r="72" spans="1:11" ht="15.95">
      <c r="A72" s="4" t="s">
        <v>70</v>
      </c>
      <c r="B72" s="4" t="s">
        <v>71</v>
      </c>
      <c r="C72" s="7">
        <f>20*165</f>
        <v>3300</v>
      </c>
      <c r="D72" s="7">
        <v>0</v>
      </c>
      <c r="E72" s="1">
        <v>26</v>
      </c>
      <c r="F72" s="29" t="s">
        <v>72</v>
      </c>
      <c r="G72" s="28"/>
      <c r="H72" s="28"/>
      <c r="I72" s="28"/>
      <c r="J72" s="27"/>
    </row>
    <row r="73" spans="1:11" ht="15.95">
      <c r="A73" s="31" t="s">
        <v>73</v>
      </c>
      <c r="B73" s="4" t="s">
        <v>74</v>
      </c>
      <c r="C73" s="7">
        <f>1426.68</f>
        <v>1426.68</v>
      </c>
      <c r="D73" s="7"/>
      <c r="E73" s="50"/>
      <c r="F73" s="24" t="s">
        <v>75</v>
      </c>
      <c r="G73" s="26" t="s">
        <v>76</v>
      </c>
      <c r="H73" s="25">
        <v>8.01</v>
      </c>
      <c r="I73" s="24">
        <v>161</v>
      </c>
      <c r="J73" s="24">
        <f>H73*I73</f>
        <v>1289.6099999999999</v>
      </c>
      <c r="K73" s="1" t="s">
        <v>62</v>
      </c>
    </row>
    <row r="74" spans="1:11" ht="15.95">
      <c r="A74" s="4"/>
      <c r="B74" s="4" t="s">
        <v>21</v>
      </c>
      <c r="C74" s="7">
        <f>SUM(C69:C73)</f>
        <v>41807.279999999999</v>
      </c>
      <c r="D74" s="7">
        <f>SUM(D69:D72)</f>
        <v>0</v>
      </c>
      <c r="F74" s="24" t="s">
        <v>60</v>
      </c>
      <c r="G74" s="26" t="s">
        <v>77</v>
      </c>
      <c r="H74" s="25">
        <v>21.45</v>
      </c>
      <c r="I74" s="24">
        <v>170</v>
      </c>
      <c r="J74" s="24">
        <f>H74*I74</f>
        <v>3646.5</v>
      </c>
      <c r="K74" s="1" t="s">
        <v>62</v>
      </c>
    </row>
    <row r="75" spans="1:11" ht="15.95">
      <c r="A75" s="258" t="s">
        <v>78</v>
      </c>
      <c r="B75" s="282"/>
      <c r="C75" s="282"/>
      <c r="D75" s="282"/>
      <c r="F75" s="24" t="s">
        <v>65</v>
      </c>
      <c r="G75" s="26" t="s">
        <v>79</v>
      </c>
      <c r="H75" s="25">
        <v>8.6199999999999992</v>
      </c>
      <c r="I75" s="24">
        <v>161</v>
      </c>
      <c r="J75" s="24">
        <f>H75*I75</f>
        <v>1387.82</v>
      </c>
      <c r="K75" s="1" t="s">
        <v>62</v>
      </c>
    </row>
    <row r="76" spans="1:11" ht="15.95">
      <c r="A76" s="12"/>
      <c r="B76" s="4" t="s">
        <v>80</v>
      </c>
      <c r="C76" s="10">
        <v>2664.21</v>
      </c>
      <c r="D76" s="10">
        <v>0</v>
      </c>
      <c r="F76" s="30" t="s">
        <v>81</v>
      </c>
      <c r="G76" s="19" t="s">
        <v>82</v>
      </c>
      <c r="H76" s="13">
        <v>58.62</v>
      </c>
      <c r="I76" s="3">
        <v>163</v>
      </c>
      <c r="J76" s="24">
        <f>H76*I76</f>
        <v>9555.06</v>
      </c>
    </row>
    <row r="77" spans="1:11" ht="15.95">
      <c r="A77" s="12"/>
      <c r="B77" s="21" t="s">
        <v>83</v>
      </c>
      <c r="C77" s="10">
        <v>96</v>
      </c>
      <c r="D77" s="7">
        <v>0</v>
      </c>
      <c r="F77" s="3"/>
      <c r="G77" s="19"/>
      <c r="H77" s="3"/>
      <c r="I77" s="3"/>
      <c r="J77" s="3"/>
    </row>
    <row r="78" spans="1:11" ht="15.95">
      <c r="A78" s="12"/>
      <c r="B78" s="21" t="s">
        <v>84</v>
      </c>
      <c r="C78" s="10">
        <v>1500</v>
      </c>
      <c r="D78" s="7">
        <v>0</v>
      </c>
      <c r="E78" s="1">
        <v>27</v>
      </c>
      <c r="F78" s="29" t="s">
        <v>85</v>
      </c>
      <c r="G78" s="28"/>
      <c r="H78" s="28"/>
      <c r="I78" s="28"/>
      <c r="J78" s="27"/>
    </row>
    <row r="79" spans="1:11" ht="15.95">
      <c r="A79" s="12"/>
      <c r="B79" s="21" t="s">
        <v>86</v>
      </c>
      <c r="C79" s="10">
        <v>1500</v>
      </c>
      <c r="D79" s="7">
        <v>0</v>
      </c>
      <c r="F79" s="24" t="s">
        <v>75</v>
      </c>
      <c r="G79" s="26" t="s">
        <v>76</v>
      </c>
      <c r="H79" s="25">
        <v>8.01</v>
      </c>
      <c r="I79" s="24">
        <v>161</v>
      </c>
      <c r="J79" s="24">
        <f>H79*I79</f>
        <v>1289.6099999999999</v>
      </c>
      <c r="K79" s="1" t="s">
        <v>62</v>
      </c>
    </row>
    <row r="80" spans="1:11" ht="15.95">
      <c r="A80" s="12"/>
      <c r="B80" s="23" t="s">
        <v>87</v>
      </c>
      <c r="C80" s="10">
        <f>347.11</f>
        <v>347.11</v>
      </c>
      <c r="D80" s="7"/>
      <c r="F80" s="3" t="s">
        <v>60</v>
      </c>
      <c r="G80" s="19" t="s">
        <v>88</v>
      </c>
      <c r="H80" s="22">
        <v>15.9</v>
      </c>
      <c r="I80" s="3">
        <v>165</v>
      </c>
      <c r="J80" s="3">
        <f>H80*I80</f>
        <v>2623.5</v>
      </c>
      <c r="K80" s="1" t="s">
        <v>62</v>
      </c>
    </row>
    <row r="81" spans="1:11" ht="15.95">
      <c r="A81" s="12"/>
      <c r="B81" s="21" t="s">
        <v>21</v>
      </c>
      <c r="C81" s="20">
        <f>SUM(C76:C80)</f>
        <v>6107.32</v>
      </c>
      <c r="D81" s="20">
        <f>SUM(D76:D79)</f>
        <v>0</v>
      </c>
      <c r="F81" s="3" t="s">
        <v>65</v>
      </c>
      <c r="G81" s="19" t="s">
        <v>89</v>
      </c>
      <c r="H81" s="13">
        <v>3.35</v>
      </c>
      <c r="I81" s="3">
        <v>161</v>
      </c>
      <c r="J81" s="3">
        <f>H81*I81</f>
        <v>539.35</v>
      </c>
      <c r="K81" s="1" t="s">
        <v>62</v>
      </c>
    </row>
    <row r="82" spans="1:11" ht="15.95">
      <c r="A82" s="258" t="s">
        <v>90</v>
      </c>
      <c r="B82" s="282"/>
      <c r="C82" s="282"/>
      <c r="D82" s="282"/>
      <c r="F82" s="17" t="s">
        <v>91</v>
      </c>
      <c r="G82" s="16" t="s">
        <v>92</v>
      </c>
      <c r="H82" s="15"/>
      <c r="I82" s="14"/>
      <c r="J82" s="14"/>
    </row>
    <row r="83" spans="1:11" ht="15.95">
      <c r="A83" s="12"/>
      <c r="B83" s="11" t="s">
        <v>93</v>
      </c>
      <c r="C83" s="10">
        <v>1700</v>
      </c>
      <c r="D83" s="9">
        <v>0</v>
      </c>
      <c r="F83" s="3"/>
      <c r="G83" s="3"/>
      <c r="H83" s="13">
        <f>SUM(H69:H82)</f>
        <v>143.35999999999999</v>
      </c>
      <c r="I83" s="3"/>
      <c r="J83" s="3">
        <f>SUM(J69:J82)</f>
        <v>23599.299999999996</v>
      </c>
    </row>
    <row r="84" spans="1:11" ht="15.95">
      <c r="A84" s="12"/>
      <c r="B84" s="11" t="s">
        <v>94</v>
      </c>
      <c r="C84" s="10">
        <v>10000</v>
      </c>
      <c r="D84" s="9"/>
    </row>
    <row r="85" spans="1:11" ht="15.95">
      <c r="A85" s="12"/>
      <c r="B85" s="11" t="s">
        <v>21</v>
      </c>
      <c r="C85" s="10">
        <f>SUM(C83:C84)</f>
        <v>11700</v>
      </c>
      <c r="D85" s="9">
        <f>D83</f>
        <v>0</v>
      </c>
    </row>
    <row r="86" spans="1:11" ht="15.95">
      <c r="A86" s="6" t="s">
        <v>95</v>
      </c>
      <c r="B86" s="8"/>
      <c r="C86" s="5">
        <f>SUM(C85,C81,C74,C67,C59,C51,C52,C50,C49,C48)</f>
        <v>70449.919999999998</v>
      </c>
      <c r="D86" s="5">
        <f>SUM(D85,D81,D74,D67,D59,D51,D50,D49,D48)</f>
        <v>0</v>
      </c>
    </row>
    <row r="87" spans="1:11" ht="15.95">
      <c r="A87" s="4"/>
      <c r="B87" s="4"/>
      <c r="C87" s="7"/>
      <c r="D87" s="7"/>
    </row>
    <row r="88" spans="1:11" ht="15.95">
      <c r="A88" s="6" t="s">
        <v>96</v>
      </c>
      <c r="B88" s="6"/>
      <c r="C88" s="5">
        <f>C45-C86</f>
        <v>3583.1300000000047</v>
      </c>
      <c r="D88" s="5">
        <f>D45-D86</f>
        <v>1145</v>
      </c>
      <c r="E88" s="1">
        <v>150</v>
      </c>
      <c r="F88" s="1">
        <v>8</v>
      </c>
      <c r="G88" s="1">
        <f>E88*F88</f>
        <v>1200</v>
      </c>
    </row>
    <row r="89" spans="1:11">
      <c r="A89" s="3"/>
      <c r="B89" s="3"/>
      <c r="C89" s="3"/>
      <c r="D89" s="3"/>
    </row>
    <row r="90" spans="1:11" ht="15.95">
      <c r="A90" s="4" t="s">
        <v>97</v>
      </c>
      <c r="B90" s="3"/>
      <c r="C90" s="4"/>
      <c r="D90" s="3"/>
    </row>
    <row r="91" spans="1:11" ht="15.95">
      <c r="C91" s="2"/>
    </row>
  </sheetData>
  <mergeCells count="25">
    <mergeCell ref="A60:D60"/>
    <mergeCell ref="A75:D75"/>
    <mergeCell ref="A82:D82"/>
    <mergeCell ref="A47:D47"/>
    <mergeCell ref="A48:B48"/>
    <mergeCell ref="A49:B49"/>
    <mergeCell ref="A50:B50"/>
    <mergeCell ref="A51:B51"/>
    <mergeCell ref="A52:B52"/>
    <mergeCell ref="A53:D53"/>
    <mergeCell ref="A46:D46"/>
    <mergeCell ref="A1:G1"/>
    <mergeCell ref="A2:G2"/>
    <mergeCell ref="A3:E3"/>
    <mergeCell ref="A4:B4"/>
    <mergeCell ref="E4:E6"/>
    <mergeCell ref="G4:G6"/>
    <mergeCell ref="A5:B6"/>
    <mergeCell ref="C5:C6"/>
    <mergeCell ref="D5:D6"/>
    <mergeCell ref="A7:G7"/>
    <mergeCell ref="A8:G8"/>
    <mergeCell ref="A21:D21"/>
    <mergeCell ref="A29:B29"/>
    <mergeCell ref="A34:D3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FCEF26-90C9-7948-8478-55ACCF6C2535}">
  <dimension ref="B1:X182"/>
  <sheetViews>
    <sheetView topLeftCell="A5" zoomScale="125" workbookViewId="0">
      <selection activeCell="H13" sqref="H13"/>
    </sheetView>
  </sheetViews>
  <sheetFormatPr defaultColWidth="11.42578125" defaultRowHeight="15"/>
  <cols>
    <col min="1" max="1" width="5" customWidth="1"/>
    <col min="2" max="2" width="39.5703125" bestFit="1" customWidth="1"/>
    <col min="3" max="3" width="27.7109375" bestFit="1" customWidth="1"/>
    <col min="4" max="4" width="18.85546875" customWidth="1"/>
    <col min="5" max="5" width="23" bestFit="1" customWidth="1"/>
    <col min="6" max="6" width="25" bestFit="1" customWidth="1"/>
    <col min="7" max="7" width="17.42578125" style="80" bestFit="1" customWidth="1"/>
    <col min="8" max="8" width="11.140625" bestFit="1" customWidth="1"/>
    <col min="10" max="10" width="10.85546875" customWidth="1"/>
    <col min="12" max="12" width="16" bestFit="1" customWidth="1"/>
    <col min="13" max="13" width="15.42578125" bestFit="1" customWidth="1"/>
    <col min="14" max="14" width="19.85546875" customWidth="1"/>
    <col min="15" max="15" width="11.140625" bestFit="1" customWidth="1"/>
    <col min="16" max="16" width="15.42578125" bestFit="1" customWidth="1"/>
  </cols>
  <sheetData>
    <row r="1" spans="2:24">
      <c r="B1" t="s">
        <v>98</v>
      </c>
    </row>
    <row r="2" spans="2:24">
      <c r="B2" s="264" t="s">
        <v>99</v>
      </c>
      <c r="C2" s="264"/>
      <c r="D2" s="264"/>
      <c r="E2" s="264"/>
      <c r="F2" s="264"/>
      <c r="G2" s="264"/>
      <c r="H2" s="264"/>
      <c r="I2" s="264"/>
      <c r="J2" s="264"/>
      <c r="K2" t="s">
        <v>100</v>
      </c>
    </row>
    <row r="3" spans="2:24">
      <c r="B3" s="265" t="s">
        <v>101</v>
      </c>
      <c r="C3" s="265"/>
      <c r="D3" s="265"/>
      <c r="E3" s="265"/>
      <c r="F3" s="265"/>
      <c r="G3" s="265"/>
      <c r="H3" s="265"/>
      <c r="I3" s="265"/>
      <c r="J3" s="265"/>
      <c r="K3" t="s">
        <v>102</v>
      </c>
    </row>
    <row r="4" spans="2:24">
      <c r="B4" s="260" t="s">
        <v>103</v>
      </c>
      <c r="C4" s="260"/>
      <c r="D4" s="260"/>
      <c r="E4" s="260"/>
      <c r="F4" s="260"/>
      <c r="G4" s="260"/>
      <c r="H4" s="260"/>
      <c r="I4" s="260"/>
      <c r="J4" s="260"/>
      <c r="K4" t="s">
        <v>104</v>
      </c>
    </row>
    <row r="6" spans="2:24">
      <c r="B6" s="261" t="s">
        <v>105</v>
      </c>
      <c r="C6" s="261"/>
      <c r="D6" s="261"/>
      <c r="E6" s="261"/>
      <c r="F6" s="261"/>
      <c r="G6" s="261"/>
    </row>
    <row r="7" spans="2:24">
      <c r="B7" s="262" t="s">
        <v>106</v>
      </c>
      <c r="C7" s="262"/>
      <c r="D7" s="262"/>
      <c r="E7" s="262"/>
      <c r="F7" s="262"/>
      <c r="G7" s="262"/>
      <c r="H7" s="52" t="s">
        <v>107</v>
      </c>
    </row>
    <row r="8" spans="2:24" ht="15.95" customHeight="1">
      <c r="B8" s="59" t="s">
        <v>108</v>
      </c>
      <c r="C8" s="59"/>
      <c r="D8" s="59"/>
      <c r="E8" s="59" t="s">
        <v>109</v>
      </c>
      <c r="F8" s="59" t="s">
        <v>110</v>
      </c>
      <c r="G8" s="84" t="s">
        <v>111</v>
      </c>
    </row>
    <row r="9" spans="2:24">
      <c r="B9" t="s">
        <v>112</v>
      </c>
      <c r="E9" s="51">
        <v>150</v>
      </c>
      <c r="F9">
        <v>53</v>
      </c>
      <c r="G9" s="85">
        <f>E9*F9</f>
        <v>7950</v>
      </c>
    </row>
    <row r="10" spans="2:24">
      <c r="B10" t="s">
        <v>113</v>
      </c>
      <c r="E10" s="51">
        <v>159</v>
      </c>
      <c r="F10">
        <v>89</v>
      </c>
      <c r="G10" s="85">
        <f t="shared" ref="G10:G12" si="0">E10*F10</f>
        <v>14151</v>
      </c>
    </row>
    <row r="11" spans="2:24">
      <c r="B11" t="s">
        <v>114</v>
      </c>
      <c r="E11" s="51">
        <v>175</v>
      </c>
      <c r="F11">
        <v>18</v>
      </c>
      <c r="G11" s="85">
        <f t="shared" si="0"/>
        <v>3150</v>
      </c>
    </row>
    <row r="12" spans="2:24">
      <c r="B12" t="s">
        <v>115</v>
      </c>
      <c r="E12" s="56">
        <v>225</v>
      </c>
      <c r="F12" s="71">
        <v>15</v>
      </c>
      <c r="G12" s="86">
        <f t="shared" si="0"/>
        <v>3375</v>
      </c>
      <c r="X12" s="72"/>
    </row>
    <row r="13" spans="2:24">
      <c r="F13" s="57" t="s">
        <v>116</v>
      </c>
      <c r="G13" s="87">
        <f>SUM(G9:G12)</f>
        <v>28626</v>
      </c>
      <c r="H13" t="s">
        <v>117</v>
      </c>
    </row>
    <row r="14" spans="2:24">
      <c r="F14" s="52"/>
      <c r="G14" s="88"/>
    </row>
    <row r="15" spans="2:24">
      <c r="F15" s="58" t="s">
        <v>118</v>
      </c>
      <c r="G15" s="89" t="s">
        <v>119</v>
      </c>
    </row>
    <row r="16" spans="2:24">
      <c r="E16" t="s">
        <v>120</v>
      </c>
      <c r="G16" s="85"/>
      <c r="H16" t="s">
        <v>121</v>
      </c>
      <c r="O16" s="117"/>
    </row>
    <row r="17" spans="2:15">
      <c r="E17" s="60" t="s">
        <v>122</v>
      </c>
      <c r="F17" s="57">
        <f>SUM(F16,F9:F12)</f>
        <v>175</v>
      </c>
      <c r="G17" s="90">
        <f>SUM(G16,G9:G12)</f>
        <v>28626</v>
      </c>
      <c r="O17" s="117"/>
    </row>
    <row r="18" spans="2:15">
      <c r="O18" s="117"/>
    </row>
    <row r="19" spans="2:15">
      <c r="B19" s="262" t="s">
        <v>123</v>
      </c>
      <c r="C19" s="262"/>
      <c r="D19" s="262"/>
      <c r="E19" s="262"/>
      <c r="F19" s="262"/>
      <c r="G19" s="262"/>
    </row>
    <row r="20" spans="2:15">
      <c r="B20" s="61" t="s">
        <v>124</v>
      </c>
      <c r="C20" s="61"/>
      <c r="D20" s="61"/>
      <c r="E20" s="62"/>
      <c r="F20" s="62"/>
      <c r="G20" s="84" t="s">
        <v>125</v>
      </c>
    </row>
    <row r="21" spans="2:15">
      <c r="B21" s="73" t="s">
        <v>126</v>
      </c>
      <c r="C21" s="73"/>
      <c r="D21" s="73"/>
      <c r="E21" s="70"/>
      <c r="F21" s="70"/>
      <c r="G21" s="91">
        <v>20000</v>
      </c>
      <c r="O21" s="118"/>
    </row>
    <row r="22" spans="2:15">
      <c r="B22" s="73" t="s">
        <v>127</v>
      </c>
      <c r="C22" s="73"/>
      <c r="D22" s="73"/>
      <c r="E22" s="70"/>
      <c r="F22" s="70"/>
      <c r="G22" s="91">
        <v>5000</v>
      </c>
      <c r="O22" s="118"/>
    </row>
    <row r="23" spans="2:15">
      <c r="B23" s="73" t="s">
        <v>128</v>
      </c>
      <c r="C23" s="73"/>
      <c r="D23" s="73"/>
      <c r="E23" s="70"/>
      <c r="F23" s="70"/>
      <c r="G23" s="92">
        <v>5000</v>
      </c>
      <c r="O23" s="118"/>
    </row>
    <row r="24" spans="2:15">
      <c r="B24" s="73" t="s">
        <v>129</v>
      </c>
      <c r="C24" s="73"/>
      <c r="D24" s="73"/>
      <c r="E24" s="70"/>
      <c r="F24" s="70"/>
      <c r="G24" s="92"/>
      <c r="O24" s="118"/>
    </row>
    <row r="25" spans="2:15">
      <c r="B25" s="70"/>
      <c r="C25" s="70"/>
      <c r="D25" s="70"/>
      <c r="E25" s="69" t="s">
        <v>130</v>
      </c>
      <c r="F25" s="124"/>
      <c r="G25" s="125">
        <f>SUM(G21:G23)</f>
        <v>30000</v>
      </c>
      <c r="O25" s="118"/>
    </row>
    <row r="26" spans="2:15">
      <c r="B26" s="70"/>
      <c r="C26" s="70"/>
      <c r="D26" s="70"/>
      <c r="E26" s="70"/>
      <c r="F26" s="55"/>
      <c r="G26" s="93"/>
      <c r="O26" s="118"/>
    </row>
    <row r="27" spans="2:15">
      <c r="B27" s="262" t="s">
        <v>131</v>
      </c>
      <c r="C27" s="262"/>
      <c r="D27" s="262"/>
      <c r="E27" s="262"/>
      <c r="F27" s="262"/>
      <c r="G27" s="262"/>
    </row>
    <row r="28" spans="2:15">
      <c r="B28" s="63" t="s">
        <v>132</v>
      </c>
      <c r="C28" s="63"/>
      <c r="D28" s="63"/>
      <c r="E28" s="64"/>
      <c r="F28" s="64"/>
      <c r="G28" s="94" t="s">
        <v>133</v>
      </c>
    </row>
    <row r="29" spans="2:15">
      <c r="B29" s="116" t="s">
        <v>134</v>
      </c>
      <c r="C29" s="65"/>
      <c r="D29" s="65"/>
      <c r="E29" s="66"/>
      <c r="F29" s="66"/>
      <c r="G29" s="95">
        <v>500</v>
      </c>
    </row>
    <row r="30" spans="2:15" ht="15.75">
      <c r="B30" s="150" t="s">
        <v>28</v>
      </c>
      <c r="C30" s="65"/>
      <c r="D30" s="65"/>
      <c r="E30" s="66"/>
      <c r="F30" s="66"/>
      <c r="G30" s="95">
        <v>300</v>
      </c>
    </row>
    <row r="31" spans="2:15">
      <c r="B31" s="65" t="s">
        <v>135</v>
      </c>
      <c r="C31" s="65"/>
      <c r="D31" s="65"/>
      <c r="E31" s="66"/>
      <c r="F31" s="66"/>
      <c r="G31" s="95">
        <v>500</v>
      </c>
    </row>
    <row r="32" spans="2:15">
      <c r="B32" t="s">
        <v>136</v>
      </c>
      <c r="C32" s="65"/>
      <c r="D32" s="65"/>
      <c r="E32" s="66"/>
      <c r="F32" s="66"/>
      <c r="G32" s="95"/>
    </row>
    <row r="33" spans="2:23">
      <c r="B33" s="65"/>
      <c r="C33" s="65"/>
      <c r="D33" s="65"/>
      <c r="E33" s="66"/>
      <c r="F33" s="66"/>
      <c r="G33" s="95">
        <v>2500</v>
      </c>
    </row>
    <row r="34" spans="2:23">
      <c r="B34" s="65"/>
      <c r="C34" s="65"/>
      <c r="D34" s="65"/>
      <c r="E34" s="66"/>
      <c r="F34" s="66"/>
      <c r="G34" s="95">
        <v>500</v>
      </c>
    </row>
    <row r="35" spans="2:23">
      <c r="B35" s="67" t="s">
        <v>137</v>
      </c>
      <c r="C35" s="67"/>
      <c r="D35" s="67"/>
      <c r="E35" s="66"/>
      <c r="F35" s="68"/>
      <c r="G35" s="96">
        <v>1000</v>
      </c>
    </row>
    <row r="36" spans="2:23">
      <c r="B36" s="66"/>
      <c r="C36" s="66"/>
      <c r="D36" s="66"/>
      <c r="E36" s="126" t="s">
        <v>138</v>
      </c>
      <c r="F36" s="66"/>
      <c r="G36" s="97">
        <f>SUM(G29:G35)</f>
        <v>5300</v>
      </c>
    </row>
    <row r="37" spans="2:23">
      <c r="B37" s="66"/>
      <c r="C37" s="66"/>
      <c r="D37" s="66"/>
      <c r="E37" s="66"/>
      <c r="F37" s="66"/>
      <c r="G37" s="97"/>
    </row>
    <row r="38" spans="2:23">
      <c r="B38" s="262" t="s">
        <v>139</v>
      </c>
      <c r="C38" s="262"/>
      <c r="D38" s="262"/>
      <c r="E38" s="262"/>
      <c r="F38" s="262"/>
      <c r="G38" s="262"/>
    </row>
    <row r="39" spans="2:23">
      <c r="B39" s="63" t="s">
        <v>124</v>
      </c>
      <c r="C39" s="63"/>
      <c r="D39" s="63"/>
      <c r="E39" s="64"/>
      <c r="F39" s="64"/>
      <c r="G39" s="94" t="s">
        <v>125</v>
      </c>
    </row>
    <row r="40" spans="2:23">
      <c r="B40" s="111" t="s">
        <v>140</v>
      </c>
      <c r="C40" s="66"/>
      <c r="D40" s="66"/>
      <c r="E40" s="66"/>
      <c r="F40" s="66"/>
      <c r="G40" s="97">
        <v>10000</v>
      </c>
    </row>
    <row r="41" spans="2:23">
      <c r="B41" s="66"/>
      <c r="C41" s="66"/>
      <c r="D41" s="66"/>
      <c r="E41" s="66"/>
      <c r="F41" s="66"/>
      <c r="G41" s="97"/>
    </row>
    <row r="42" spans="2:23">
      <c r="B42" s="75"/>
      <c r="C42" s="75"/>
      <c r="D42" s="75"/>
      <c r="E42" s="75"/>
      <c r="F42" s="76" t="s">
        <v>141</v>
      </c>
      <c r="G42" s="98">
        <f>SUM(G17,G25,G36,G40)</f>
        <v>73926</v>
      </c>
    </row>
    <row r="43" spans="2:23">
      <c r="B43" s="66"/>
      <c r="C43" s="66"/>
      <c r="D43" s="66"/>
      <c r="E43" s="66"/>
      <c r="F43" s="66"/>
      <c r="G43" s="97"/>
    </row>
    <row r="44" spans="2:23">
      <c r="B44" s="70"/>
      <c r="C44" s="70"/>
      <c r="D44" s="70"/>
      <c r="E44" s="70"/>
      <c r="F44" s="70"/>
      <c r="G44" s="99"/>
    </row>
    <row r="45" spans="2:23">
      <c r="B45" s="261" t="s">
        <v>142</v>
      </c>
      <c r="C45" s="261"/>
      <c r="D45" s="261"/>
      <c r="E45" s="261"/>
      <c r="F45" s="261"/>
      <c r="G45" s="261"/>
    </row>
    <row r="46" spans="2:23">
      <c r="B46" s="262" t="s">
        <v>143</v>
      </c>
      <c r="C46" s="262"/>
      <c r="D46" s="262"/>
      <c r="E46" s="262"/>
      <c r="F46" s="262"/>
      <c r="G46" s="262"/>
      <c r="W46" t="s">
        <v>144</v>
      </c>
    </row>
    <row r="47" spans="2:23" ht="15.95" customHeight="1">
      <c r="B47" s="58" t="s">
        <v>145</v>
      </c>
      <c r="C47" s="58" t="s">
        <v>146</v>
      </c>
      <c r="D47" s="58"/>
      <c r="E47" s="58" t="s">
        <v>147</v>
      </c>
      <c r="F47" s="58" t="s">
        <v>110</v>
      </c>
      <c r="G47" s="89" t="s">
        <v>148</v>
      </c>
      <c r="W47" t="s">
        <v>149</v>
      </c>
    </row>
    <row r="48" spans="2:23">
      <c r="B48" s="259" t="s">
        <v>41</v>
      </c>
      <c r="C48" s="259"/>
      <c r="D48" s="259"/>
      <c r="E48" s="259"/>
      <c r="F48" s="259"/>
      <c r="G48" s="259"/>
      <c r="W48" t="s">
        <v>150</v>
      </c>
    </row>
    <row r="49" spans="2:8">
      <c r="C49" t="s">
        <v>151</v>
      </c>
      <c r="E49" s="51">
        <v>0.27200000000000002</v>
      </c>
      <c r="F49">
        <v>180</v>
      </c>
      <c r="G49" s="80">
        <f>E49*F49</f>
        <v>48.96</v>
      </c>
      <c r="H49" t="s">
        <v>152</v>
      </c>
    </row>
    <row r="50" spans="2:8">
      <c r="C50" t="s">
        <v>153</v>
      </c>
      <c r="E50" s="80">
        <v>0.82</v>
      </c>
      <c r="F50">
        <v>180</v>
      </c>
      <c r="G50" s="80">
        <f t="shared" ref="G50:G53" si="1">E50*F50</f>
        <v>147.6</v>
      </c>
      <c r="H50" t="s">
        <v>154</v>
      </c>
    </row>
    <row r="51" spans="2:8">
      <c r="C51" t="s">
        <v>155</v>
      </c>
      <c r="E51" s="123">
        <v>6.71</v>
      </c>
      <c r="F51">
        <v>2</v>
      </c>
      <c r="G51" s="80">
        <f t="shared" si="1"/>
        <v>13.42</v>
      </c>
      <c r="H51" t="s">
        <v>156</v>
      </c>
    </row>
    <row r="52" spans="2:8">
      <c r="E52" s="123"/>
      <c r="G52" s="80">
        <f t="shared" si="1"/>
        <v>0</v>
      </c>
    </row>
    <row r="53" spans="2:8">
      <c r="E53" s="123"/>
      <c r="G53" s="80">
        <f t="shared" si="1"/>
        <v>0</v>
      </c>
    </row>
    <row r="54" spans="2:8">
      <c r="F54" s="60" t="s">
        <v>116</v>
      </c>
      <c r="G54" s="87">
        <f>SUM(G49:G53)</f>
        <v>209.98</v>
      </c>
    </row>
    <row r="55" spans="2:8">
      <c r="B55" s="259" t="s">
        <v>157</v>
      </c>
      <c r="C55" s="259"/>
      <c r="D55" s="259"/>
      <c r="E55" s="259"/>
      <c r="F55" s="259"/>
      <c r="G55" s="259"/>
    </row>
    <row r="56" spans="2:8">
      <c r="B56" s="49" t="s">
        <v>57</v>
      </c>
      <c r="C56" s="49"/>
      <c r="D56" s="49"/>
      <c r="E56" s="49"/>
      <c r="F56" s="49"/>
      <c r="G56" s="81"/>
    </row>
    <row r="57" spans="2:8">
      <c r="B57" s="73"/>
      <c r="C57" s="73" t="s">
        <v>158</v>
      </c>
      <c r="D57" s="73"/>
      <c r="E57" s="77"/>
      <c r="F57" s="73"/>
      <c r="G57" s="82"/>
      <c r="H57" t="s">
        <v>159</v>
      </c>
    </row>
    <row r="58" spans="2:8">
      <c r="B58" s="49"/>
      <c r="C58" s="73"/>
      <c r="D58" s="73" t="s">
        <v>160</v>
      </c>
      <c r="E58" s="119">
        <v>2.5</v>
      </c>
      <c r="F58" s="73">
        <v>110</v>
      </c>
      <c r="G58" s="82">
        <f>E58*F58</f>
        <v>275</v>
      </c>
    </row>
    <row r="59" spans="2:8">
      <c r="B59" s="49"/>
      <c r="C59" s="73"/>
      <c r="D59" s="73" t="s">
        <v>161</v>
      </c>
      <c r="E59" s="119">
        <v>2.5</v>
      </c>
      <c r="F59" s="73">
        <v>110</v>
      </c>
      <c r="G59" s="82">
        <f>E59*F59</f>
        <v>275</v>
      </c>
    </row>
    <row r="60" spans="2:8">
      <c r="B60" s="49"/>
      <c r="C60" s="73"/>
      <c r="D60" s="73" t="s">
        <v>162</v>
      </c>
      <c r="E60" s="119">
        <v>2.75</v>
      </c>
      <c r="F60" s="73">
        <v>57</v>
      </c>
      <c r="G60" s="82">
        <f>E60*F60</f>
        <v>156.75</v>
      </c>
    </row>
    <row r="61" spans="2:8">
      <c r="B61" s="49"/>
      <c r="C61" s="73"/>
      <c r="D61" s="73" t="s">
        <v>163</v>
      </c>
      <c r="E61" s="119">
        <v>3</v>
      </c>
      <c r="F61" s="73">
        <v>90</v>
      </c>
      <c r="G61" s="82">
        <f>E61*F61</f>
        <v>270</v>
      </c>
      <c r="H61" s="80"/>
    </row>
    <row r="62" spans="2:8">
      <c r="B62" s="49"/>
      <c r="C62" s="73"/>
      <c r="D62" s="73" t="s">
        <v>164</v>
      </c>
      <c r="E62" s="119">
        <v>2.75</v>
      </c>
      <c r="F62" s="73">
        <v>90</v>
      </c>
      <c r="G62" s="82">
        <f>E62*F62</f>
        <v>247.5</v>
      </c>
      <c r="H62" s="80"/>
    </row>
    <row r="63" spans="2:8">
      <c r="B63" s="73"/>
      <c r="C63" s="73" t="s">
        <v>165</v>
      </c>
      <c r="D63" s="73"/>
      <c r="E63" s="78">
        <v>28.6</v>
      </c>
      <c r="F63" s="73">
        <f>$F$17</f>
        <v>175</v>
      </c>
      <c r="G63" s="82">
        <f>E63*F63</f>
        <v>5005</v>
      </c>
    </row>
    <row r="64" spans="2:8">
      <c r="B64" s="73"/>
      <c r="C64" s="73"/>
      <c r="D64" s="73"/>
      <c r="E64" s="78"/>
      <c r="F64" s="69" t="s">
        <v>116</v>
      </c>
      <c r="G64" s="100">
        <f>SUM(G57:G63)</f>
        <v>6229.25</v>
      </c>
    </row>
    <row r="65" spans="2:8">
      <c r="B65" s="49" t="s">
        <v>72</v>
      </c>
      <c r="C65" s="73"/>
      <c r="D65" s="73"/>
      <c r="E65" s="78"/>
      <c r="F65" s="73"/>
      <c r="G65" s="82"/>
    </row>
    <row r="66" spans="2:8">
      <c r="B66" s="49"/>
      <c r="C66" s="73" t="s">
        <v>166</v>
      </c>
      <c r="D66" s="73"/>
      <c r="E66" s="78">
        <v>6.6</v>
      </c>
      <c r="F66" s="73">
        <f t="shared" ref="F66:F95" si="2">$F$17</f>
        <v>175</v>
      </c>
      <c r="G66" s="82">
        <f t="shared" ref="G66:G95" si="3">E66*F66</f>
        <v>1155</v>
      </c>
      <c r="H66" t="s">
        <v>167</v>
      </c>
    </row>
    <row r="67" spans="2:8">
      <c r="B67" s="49"/>
      <c r="C67" s="73" t="s">
        <v>168</v>
      </c>
      <c r="D67" s="73"/>
      <c r="E67" s="78"/>
      <c r="F67" s="73"/>
      <c r="G67" s="82"/>
    </row>
    <row r="68" spans="2:8">
      <c r="B68" s="49"/>
      <c r="C68" s="73"/>
      <c r="D68" s="73" t="s">
        <v>160</v>
      </c>
      <c r="E68" s="119">
        <v>2.5</v>
      </c>
      <c r="F68" s="73">
        <v>110</v>
      </c>
      <c r="G68" s="82">
        <f>E68*F68</f>
        <v>275</v>
      </c>
    </row>
    <row r="69" spans="2:8">
      <c r="B69" s="49"/>
      <c r="C69" s="73"/>
      <c r="D69" s="73" t="s">
        <v>161</v>
      </c>
      <c r="E69" s="119">
        <v>2.5</v>
      </c>
      <c r="F69" s="73">
        <v>110</v>
      </c>
      <c r="G69" s="82">
        <f>E69*F69</f>
        <v>275</v>
      </c>
    </row>
    <row r="70" spans="2:8">
      <c r="B70" s="49"/>
      <c r="C70" s="73"/>
      <c r="D70" s="73" t="s">
        <v>162</v>
      </c>
      <c r="E70" s="119">
        <v>2.75</v>
      </c>
      <c r="F70" s="73">
        <v>80</v>
      </c>
      <c r="G70" s="82">
        <f>E70*F70</f>
        <v>220</v>
      </c>
      <c r="H70" s="80"/>
    </row>
    <row r="71" spans="2:8">
      <c r="B71" s="49"/>
      <c r="C71" s="73"/>
      <c r="D71" s="73" t="s">
        <v>169</v>
      </c>
      <c r="E71" s="119">
        <v>3</v>
      </c>
      <c r="F71" s="73">
        <v>220</v>
      </c>
      <c r="G71" s="82">
        <f>E71*F71</f>
        <v>660</v>
      </c>
    </row>
    <row r="72" spans="2:8">
      <c r="B72" s="73"/>
      <c r="C72" s="73" t="s">
        <v>170</v>
      </c>
      <c r="D72" s="73"/>
      <c r="E72" s="78">
        <v>25</v>
      </c>
      <c r="F72" s="73">
        <f t="shared" si="2"/>
        <v>175</v>
      </c>
      <c r="G72" s="82">
        <f t="shared" si="3"/>
        <v>4375</v>
      </c>
    </row>
    <row r="73" spans="2:8">
      <c r="B73" s="73"/>
      <c r="C73" s="73" t="s">
        <v>158</v>
      </c>
      <c r="D73" s="73"/>
      <c r="E73" s="78"/>
      <c r="F73" s="73"/>
      <c r="G73" s="82"/>
    </row>
    <row r="74" spans="2:8">
      <c r="B74" s="49"/>
      <c r="C74" s="73"/>
      <c r="D74" s="73" t="s">
        <v>160</v>
      </c>
      <c r="E74" s="119">
        <v>2.5</v>
      </c>
      <c r="F74" s="73">
        <v>110</v>
      </c>
      <c r="G74" s="82">
        <f>E74*F74</f>
        <v>275</v>
      </c>
    </row>
    <row r="75" spans="2:8">
      <c r="B75" s="49"/>
      <c r="C75" s="73"/>
      <c r="D75" s="73" t="s">
        <v>161</v>
      </c>
      <c r="E75" s="119">
        <v>2.5</v>
      </c>
      <c r="F75" s="73">
        <v>110</v>
      </c>
      <c r="G75" s="82">
        <f>E75*F75</f>
        <v>275</v>
      </c>
    </row>
    <row r="76" spans="2:8">
      <c r="B76" s="49"/>
      <c r="C76" s="73"/>
      <c r="D76" s="73" t="s">
        <v>162</v>
      </c>
      <c r="E76" s="119">
        <v>2.75</v>
      </c>
      <c r="F76" s="73">
        <v>57</v>
      </c>
      <c r="G76" s="82">
        <f>E76*F76</f>
        <v>156.75</v>
      </c>
    </row>
    <row r="77" spans="2:8">
      <c r="B77" s="49"/>
      <c r="C77" s="73"/>
      <c r="D77" s="73" t="s">
        <v>163</v>
      </c>
      <c r="E77" s="119">
        <v>3</v>
      </c>
      <c r="F77" s="73">
        <v>90</v>
      </c>
      <c r="G77" s="82">
        <f>E77*F77</f>
        <v>270</v>
      </c>
      <c r="H77" s="80"/>
    </row>
    <row r="78" spans="2:8">
      <c r="B78" s="49"/>
      <c r="C78" s="73"/>
      <c r="D78" s="73" t="s">
        <v>164</v>
      </c>
      <c r="E78" s="119">
        <v>2.75</v>
      </c>
      <c r="F78" s="73">
        <v>90</v>
      </c>
      <c r="G78" s="82">
        <f>E78*F78</f>
        <v>247.5</v>
      </c>
    </row>
    <row r="79" spans="2:8">
      <c r="B79" s="73"/>
      <c r="C79" s="73" t="s">
        <v>171</v>
      </c>
      <c r="D79" s="73"/>
      <c r="E79" s="78">
        <v>28.6</v>
      </c>
      <c r="F79" s="73">
        <f t="shared" si="2"/>
        <v>175</v>
      </c>
      <c r="G79" s="82">
        <f>E79*F79</f>
        <v>5005</v>
      </c>
    </row>
    <row r="80" spans="2:8">
      <c r="B80" s="73"/>
      <c r="C80" s="73"/>
      <c r="D80" s="73"/>
      <c r="E80" s="78"/>
      <c r="F80" s="69" t="s">
        <v>116</v>
      </c>
      <c r="G80" s="100">
        <f>SUM(G66:G79)</f>
        <v>13189.25</v>
      </c>
    </row>
    <row r="81" spans="2:9">
      <c r="B81" s="49" t="s">
        <v>85</v>
      </c>
      <c r="C81" s="73"/>
      <c r="D81" s="73"/>
      <c r="E81" s="78"/>
      <c r="F81" s="73"/>
      <c r="G81" s="82"/>
    </row>
    <row r="82" spans="2:9">
      <c r="B82" s="49"/>
      <c r="C82" s="73" t="s">
        <v>172</v>
      </c>
      <c r="D82" s="73"/>
      <c r="E82" s="78">
        <v>6.6</v>
      </c>
      <c r="F82" s="73">
        <f t="shared" si="2"/>
        <v>175</v>
      </c>
      <c r="G82" s="82">
        <f t="shared" si="3"/>
        <v>1155</v>
      </c>
      <c r="H82" t="s">
        <v>167</v>
      </c>
    </row>
    <row r="83" spans="2:9">
      <c r="B83" s="49"/>
      <c r="C83" s="73" t="s">
        <v>168</v>
      </c>
      <c r="D83" s="73"/>
      <c r="E83" s="77"/>
      <c r="F83" s="73"/>
      <c r="G83" s="82"/>
    </row>
    <row r="84" spans="2:9">
      <c r="B84" s="49"/>
      <c r="C84" s="73"/>
      <c r="D84" s="73" t="s">
        <v>160</v>
      </c>
      <c r="E84" s="119">
        <v>2.5</v>
      </c>
      <c r="F84" s="73">
        <v>110</v>
      </c>
      <c r="G84" s="82">
        <f>E84*F84</f>
        <v>275</v>
      </c>
    </row>
    <row r="85" spans="2:9">
      <c r="B85" s="49"/>
      <c r="C85" s="73"/>
      <c r="D85" s="73" t="s">
        <v>161</v>
      </c>
      <c r="E85" s="119">
        <v>2.5</v>
      </c>
      <c r="F85" s="73">
        <v>110</v>
      </c>
      <c r="G85" s="82">
        <f>E85*F85</f>
        <v>275</v>
      </c>
    </row>
    <row r="86" spans="2:9">
      <c r="B86" s="49"/>
      <c r="C86" s="73"/>
      <c r="D86" s="73" t="s">
        <v>162</v>
      </c>
      <c r="E86" s="119">
        <v>2.75</v>
      </c>
      <c r="F86" s="73">
        <v>80</v>
      </c>
      <c r="G86" s="82">
        <f>E86*F86</f>
        <v>220</v>
      </c>
      <c r="I86" s="80"/>
    </row>
    <row r="87" spans="2:9">
      <c r="B87" s="49"/>
      <c r="C87" s="73"/>
      <c r="D87" s="73" t="s">
        <v>169</v>
      </c>
      <c r="E87" s="119">
        <v>3</v>
      </c>
      <c r="F87" s="73">
        <v>220</v>
      </c>
      <c r="G87" s="82">
        <f>E87*F87</f>
        <v>660</v>
      </c>
    </row>
    <row r="88" spans="2:9">
      <c r="B88" s="73"/>
      <c r="C88" s="73" t="s">
        <v>173</v>
      </c>
      <c r="D88" s="73"/>
      <c r="E88" s="78">
        <v>25</v>
      </c>
      <c r="F88" s="73">
        <f t="shared" si="2"/>
        <v>175</v>
      </c>
      <c r="G88" s="82">
        <f>E88*F88</f>
        <v>4375</v>
      </c>
    </row>
    <row r="89" spans="2:9">
      <c r="B89" s="73"/>
      <c r="C89" s="73" t="s">
        <v>158</v>
      </c>
      <c r="D89" s="73"/>
      <c r="E89" s="78"/>
      <c r="F89" s="73"/>
      <c r="G89" s="82"/>
    </row>
    <row r="90" spans="2:9">
      <c r="B90" s="49"/>
      <c r="C90" s="73"/>
      <c r="D90" s="73" t="s">
        <v>160</v>
      </c>
      <c r="E90" s="119">
        <v>2.5</v>
      </c>
      <c r="F90" s="73">
        <v>110</v>
      </c>
      <c r="G90" s="82">
        <f>E90*F90</f>
        <v>275</v>
      </c>
    </row>
    <row r="91" spans="2:9">
      <c r="B91" s="49"/>
      <c r="C91" s="73"/>
      <c r="D91" s="73" t="s">
        <v>161</v>
      </c>
      <c r="E91" s="119">
        <v>2.5</v>
      </c>
      <c r="F91" s="73">
        <v>110</v>
      </c>
      <c r="G91" s="82">
        <f>E91*F91</f>
        <v>275</v>
      </c>
    </row>
    <row r="92" spans="2:9">
      <c r="B92" s="49"/>
      <c r="C92" s="73"/>
      <c r="D92" s="73" t="s">
        <v>162</v>
      </c>
      <c r="E92" s="119">
        <v>2.75</v>
      </c>
      <c r="F92" s="73">
        <v>57</v>
      </c>
      <c r="G92" s="82">
        <f>E92*F92</f>
        <v>156.75</v>
      </c>
    </row>
    <row r="93" spans="2:9">
      <c r="B93" s="49"/>
      <c r="C93" s="73"/>
      <c r="D93" s="73" t="s">
        <v>163</v>
      </c>
      <c r="E93" s="119">
        <v>3</v>
      </c>
      <c r="F93" s="73">
        <v>90</v>
      </c>
      <c r="G93" s="82">
        <f>E93*F93</f>
        <v>270</v>
      </c>
      <c r="H93" s="80"/>
    </row>
    <row r="94" spans="2:9">
      <c r="B94" s="49"/>
      <c r="C94" s="73"/>
      <c r="D94" s="73" t="s">
        <v>164</v>
      </c>
      <c r="E94" s="119">
        <v>2.75</v>
      </c>
      <c r="F94" s="73">
        <v>90</v>
      </c>
      <c r="G94" s="82">
        <f>E94*F94</f>
        <v>247.5</v>
      </c>
    </row>
    <row r="95" spans="2:9">
      <c r="B95" s="73"/>
      <c r="C95" s="73" t="s">
        <v>174</v>
      </c>
      <c r="D95" s="73"/>
      <c r="E95" s="77">
        <v>20</v>
      </c>
      <c r="F95" s="73">
        <f t="shared" si="2"/>
        <v>175</v>
      </c>
      <c r="G95" s="82">
        <f t="shared" si="3"/>
        <v>3500</v>
      </c>
    </row>
    <row r="96" spans="2:9">
      <c r="B96" s="73"/>
      <c r="C96" s="73"/>
      <c r="D96" s="73"/>
      <c r="E96" s="77"/>
      <c r="F96" s="69" t="s">
        <v>116</v>
      </c>
      <c r="G96" s="100">
        <f>SUM(G82:G95)</f>
        <v>11684.25</v>
      </c>
    </row>
    <row r="97" spans="2:24">
      <c r="B97" s="73"/>
      <c r="C97" s="73"/>
      <c r="D97" s="73"/>
      <c r="E97" s="77"/>
      <c r="F97" s="49"/>
      <c r="G97" s="100"/>
    </row>
    <row r="98" spans="2:24">
      <c r="B98" s="73"/>
      <c r="C98" s="73"/>
      <c r="D98" s="73"/>
      <c r="E98" s="77"/>
      <c r="F98" s="69" t="s">
        <v>175</v>
      </c>
      <c r="G98" s="100">
        <f>SUM(G64,G80,G96)</f>
        <v>31102.75</v>
      </c>
    </row>
    <row r="99" spans="2:24">
      <c r="B99" s="259" t="s">
        <v>49</v>
      </c>
      <c r="C99" s="259"/>
      <c r="D99" s="259"/>
      <c r="E99" s="259"/>
      <c r="F99" s="259"/>
      <c r="G99" s="266"/>
    </row>
    <row r="100" spans="2:24">
      <c r="B100" s="49" t="s">
        <v>176</v>
      </c>
      <c r="C100" s="73" t="s">
        <v>177</v>
      </c>
      <c r="D100" s="73"/>
      <c r="E100" s="82">
        <v>60</v>
      </c>
      <c r="F100" s="73">
        <v>10</v>
      </c>
      <c r="G100" s="83">
        <f>E100*F100</f>
        <v>600</v>
      </c>
      <c r="H100" t="s">
        <v>178</v>
      </c>
    </row>
    <row r="101" spans="2:24">
      <c r="B101" s="73"/>
      <c r="C101" s="73"/>
      <c r="D101" s="73"/>
      <c r="E101" s="77"/>
      <c r="F101" s="49"/>
      <c r="G101" s="81"/>
    </row>
    <row r="102" spans="2:24">
      <c r="E102" s="52"/>
      <c r="F102" s="106" t="s">
        <v>116</v>
      </c>
      <c r="G102" s="107">
        <f>SUM(G100:G101)</f>
        <v>600</v>
      </c>
    </row>
    <row r="103" spans="2:24">
      <c r="B103" s="259" t="s">
        <v>179</v>
      </c>
      <c r="C103" s="259"/>
      <c r="D103" s="259"/>
      <c r="E103" s="259"/>
      <c r="F103" s="259"/>
      <c r="G103" s="259"/>
    </row>
    <row r="104" spans="2:24">
      <c r="B104" s="52" t="s">
        <v>180</v>
      </c>
      <c r="E104" s="80">
        <v>406.8</v>
      </c>
      <c r="F104" s="73">
        <v>3</v>
      </c>
      <c r="G104" s="80">
        <f>E104*F104</f>
        <v>1220.4000000000001</v>
      </c>
      <c r="H104" t="s">
        <v>181</v>
      </c>
    </row>
    <row r="105" spans="2:24">
      <c r="B105" s="52" t="s">
        <v>182</v>
      </c>
      <c r="D105" t="s">
        <v>183</v>
      </c>
      <c r="E105" s="80">
        <v>0.59</v>
      </c>
      <c r="F105" s="73">
        <v>915</v>
      </c>
      <c r="G105" s="80">
        <f>E105*F105</f>
        <v>539.85</v>
      </c>
    </row>
    <row r="106" spans="2:24">
      <c r="B106" s="52" t="s">
        <v>184</v>
      </c>
      <c r="E106" s="80">
        <v>50</v>
      </c>
      <c r="F106" s="73">
        <v>3</v>
      </c>
      <c r="G106" s="80">
        <f>E106*F106</f>
        <v>150</v>
      </c>
      <c r="H106" t="s">
        <v>185</v>
      </c>
    </row>
    <row r="107" spans="2:24">
      <c r="F107" s="60" t="s">
        <v>116</v>
      </c>
      <c r="G107" s="104">
        <f>SUM(G104:G106)</f>
        <v>1910.25</v>
      </c>
      <c r="W107" t="s">
        <v>186</v>
      </c>
      <c r="X107" t="s">
        <v>187</v>
      </c>
    </row>
    <row r="108" spans="2:24">
      <c r="B108" s="113" t="s">
        <v>188</v>
      </c>
      <c r="C108" s="114"/>
      <c r="D108" s="114"/>
      <c r="E108" s="114"/>
      <c r="F108" s="113"/>
      <c r="G108" s="115"/>
    </row>
    <row r="109" spans="2:24">
      <c r="B109" t="s">
        <v>189</v>
      </c>
      <c r="F109" s="52"/>
      <c r="H109" t="s">
        <v>190</v>
      </c>
    </row>
    <row r="110" spans="2:24">
      <c r="B110" t="s">
        <v>191</v>
      </c>
      <c r="C110" t="s">
        <v>192</v>
      </c>
      <c r="F110" s="52"/>
      <c r="G110" s="80">
        <v>0</v>
      </c>
    </row>
    <row r="111" spans="2:24">
      <c r="B111" t="s">
        <v>193</v>
      </c>
      <c r="C111" t="s">
        <v>192</v>
      </c>
      <c r="F111" s="52"/>
      <c r="G111" s="80">
        <v>0</v>
      </c>
    </row>
    <row r="112" spans="2:24">
      <c r="B112" t="s">
        <v>194</v>
      </c>
      <c r="C112" t="s">
        <v>192</v>
      </c>
      <c r="F112" s="52"/>
    </row>
    <row r="113" spans="2:23">
      <c r="B113" t="s">
        <v>195</v>
      </c>
      <c r="C113" t="s">
        <v>196</v>
      </c>
      <c r="F113" s="52"/>
    </row>
    <row r="114" spans="2:23">
      <c r="F114" s="52"/>
    </row>
    <row r="115" spans="2:23" ht="15.75">
      <c r="E115" s="108" t="s">
        <v>197</v>
      </c>
      <c r="F115" s="109"/>
      <c r="G115" s="110"/>
    </row>
    <row r="116" spans="2:23">
      <c r="E116" s="52"/>
      <c r="F116" s="52"/>
      <c r="G116" s="101"/>
    </row>
    <row r="117" spans="2:23">
      <c r="B117" s="263" t="s">
        <v>198</v>
      </c>
      <c r="C117" s="263"/>
      <c r="D117" s="263"/>
      <c r="E117" s="263"/>
      <c r="F117" s="263"/>
      <c r="G117" s="263"/>
    </row>
    <row r="118" spans="2:23" ht="15.95" customHeight="1">
      <c r="B118" s="58" t="s">
        <v>145</v>
      </c>
      <c r="C118" s="58" t="s">
        <v>146</v>
      </c>
      <c r="D118" s="58"/>
      <c r="E118" s="58" t="s">
        <v>199</v>
      </c>
      <c r="F118" s="58" t="s">
        <v>110</v>
      </c>
      <c r="G118" s="89" t="s">
        <v>148</v>
      </c>
    </row>
    <row r="119" spans="2:23">
      <c r="B119" s="259" t="s">
        <v>41</v>
      </c>
      <c r="C119" s="259"/>
      <c r="D119" s="259"/>
      <c r="E119" s="259"/>
      <c r="F119" s="259"/>
      <c r="G119" s="259"/>
    </row>
    <row r="120" spans="2:23" ht="14.1" customHeight="1">
      <c r="B120" s="52" t="s">
        <v>200</v>
      </c>
      <c r="C120" t="s">
        <v>201</v>
      </c>
      <c r="E120" s="52"/>
      <c r="F120" s="52"/>
      <c r="G120" s="80">
        <v>78</v>
      </c>
      <c r="H120" t="s">
        <v>202</v>
      </c>
      <c r="V120" s="52"/>
      <c r="W120" s="52"/>
    </row>
    <row r="121" spans="2:23">
      <c r="B121" s="52" t="s">
        <v>203</v>
      </c>
      <c r="C121" t="s">
        <v>204</v>
      </c>
      <c r="E121" s="74">
        <v>16</v>
      </c>
      <c r="F121" s="112">
        <v>9</v>
      </c>
      <c r="G121" s="92">
        <f>E121*F121</f>
        <v>144</v>
      </c>
      <c r="H121" t="s">
        <v>205</v>
      </c>
      <c r="V121" s="53"/>
      <c r="W121" s="53"/>
    </row>
    <row r="122" spans="2:23">
      <c r="E122" s="53"/>
      <c r="F122" s="53"/>
      <c r="G122" s="92"/>
      <c r="V122" s="53"/>
      <c r="W122" s="53"/>
    </row>
    <row r="123" spans="2:23">
      <c r="E123" s="53"/>
      <c r="F123" s="53"/>
      <c r="G123" s="92"/>
    </row>
    <row r="124" spans="2:23">
      <c r="E124" s="53"/>
      <c r="F124" s="53"/>
      <c r="G124" s="92"/>
    </row>
    <row r="125" spans="2:23">
      <c r="E125" s="53"/>
      <c r="F125" s="79" t="s">
        <v>116</v>
      </c>
      <c r="G125" s="102"/>
    </row>
    <row r="126" spans="2:23" ht="15.95" customHeight="1">
      <c r="B126" s="259" t="s">
        <v>157</v>
      </c>
      <c r="C126" s="259"/>
      <c r="D126" s="259"/>
      <c r="E126" s="259"/>
      <c r="F126" s="259"/>
      <c r="G126" s="259"/>
    </row>
    <row r="127" spans="2:23">
      <c r="B127" t="s">
        <v>206</v>
      </c>
      <c r="C127" t="s">
        <v>207</v>
      </c>
      <c r="E127" s="53"/>
      <c r="F127" s="53"/>
      <c r="G127" s="92"/>
      <c r="H127" t="s">
        <v>208</v>
      </c>
    </row>
    <row r="128" spans="2:23">
      <c r="B128" t="s">
        <v>209</v>
      </c>
      <c r="C128" t="s">
        <v>207</v>
      </c>
      <c r="E128" s="52"/>
      <c r="F128" s="54"/>
      <c r="G128" s="92">
        <v>300</v>
      </c>
    </row>
    <row r="129" spans="2:8">
      <c r="E129" s="65"/>
      <c r="F129" s="69" t="s">
        <v>116</v>
      </c>
      <c r="G129" s="105"/>
    </row>
    <row r="130" spans="2:8">
      <c r="B130" s="259" t="s">
        <v>49</v>
      </c>
      <c r="C130" s="259"/>
      <c r="D130" s="259"/>
      <c r="E130" s="259"/>
      <c r="F130" s="259"/>
      <c r="G130" s="259"/>
    </row>
    <row r="131" spans="2:8">
      <c r="B131" s="49" t="s">
        <v>210</v>
      </c>
      <c r="C131" s="49"/>
      <c r="D131" s="49"/>
      <c r="E131" s="49"/>
      <c r="F131" s="49"/>
      <c r="G131" s="81"/>
      <c r="H131" t="s">
        <v>211</v>
      </c>
    </row>
    <row r="132" spans="2:8">
      <c r="C132" t="s">
        <v>50</v>
      </c>
      <c r="E132" s="80"/>
    </row>
    <row r="133" spans="2:8">
      <c r="C133" t="s">
        <v>51</v>
      </c>
      <c r="E133" s="80"/>
      <c r="G133" s="80">
        <v>1200</v>
      </c>
    </row>
    <row r="134" spans="2:8">
      <c r="B134" s="52" t="s">
        <v>176</v>
      </c>
    </row>
    <row r="135" spans="2:8">
      <c r="C135" t="s">
        <v>212</v>
      </c>
      <c r="E135" s="80"/>
      <c r="G135" s="80">
        <v>150</v>
      </c>
    </row>
    <row r="136" spans="2:8">
      <c r="C136" t="s">
        <v>53</v>
      </c>
      <c r="E136" s="80"/>
      <c r="G136" s="80">
        <v>80</v>
      </c>
    </row>
    <row r="137" spans="2:8">
      <c r="C137" t="s">
        <v>54</v>
      </c>
      <c r="G137" s="80">
        <v>300</v>
      </c>
    </row>
    <row r="139" spans="2:8">
      <c r="F139" s="60" t="s">
        <v>116</v>
      </c>
      <c r="G139" s="103">
        <f>SUM(G133:G137)</f>
        <v>1730</v>
      </c>
    </row>
    <row r="140" spans="2:8">
      <c r="B140" s="259" t="s">
        <v>179</v>
      </c>
      <c r="C140" s="259"/>
      <c r="D140" s="259"/>
      <c r="E140" s="259"/>
      <c r="F140" s="259"/>
      <c r="G140" s="259"/>
    </row>
    <row r="141" spans="2:8">
      <c r="B141" s="52" t="s">
        <v>182</v>
      </c>
      <c r="E141" s="52" t="s">
        <v>213</v>
      </c>
      <c r="F141" s="52" t="s">
        <v>214</v>
      </c>
      <c r="H141" t="s">
        <v>215</v>
      </c>
    </row>
    <row r="142" spans="2:8">
      <c r="B142" s="67" t="s">
        <v>216</v>
      </c>
      <c r="C142" t="s">
        <v>217</v>
      </c>
      <c r="E142" s="80">
        <v>0.59</v>
      </c>
      <c r="F142">
        <v>144</v>
      </c>
      <c r="G142" s="80">
        <f>E142*F142</f>
        <v>84.96</v>
      </c>
    </row>
    <row r="143" spans="2:8">
      <c r="B143" s="52"/>
      <c r="C143" t="s">
        <v>218</v>
      </c>
      <c r="E143" s="80">
        <v>0.59</v>
      </c>
      <c r="F143">
        <v>1098</v>
      </c>
      <c r="G143" s="80">
        <f>E143*F143</f>
        <v>647.81999999999994</v>
      </c>
    </row>
    <row r="144" spans="2:8">
      <c r="B144" s="52"/>
      <c r="C144" t="s">
        <v>219</v>
      </c>
      <c r="E144" s="80">
        <v>0.59</v>
      </c>
      <c r="F144">
        <v>586</v>
      </c>
      <c r="G144" s="80">
        <f>E144*F144</f>
        <v>345.74</v>
      </c>
    </row>
    <row r="145" spans="2:8">
      <c r="B145" s="52"/>
      <c r="E145" s="80"/>
    </row>
    <row r="146" spans="2:8">
      <c r="B146" t="s">
        <v>220</v>
      </c>
      <c r="C146" t="s">
        <v>217</v>
      </c>
      <c r="E146" s="80">
        <v>50</v>
      </c>
      <c r="G146" s="80">
        <v>50</v>
      </c>
    </row>
    <row r="147" spans="2:8">
      <c r="B147" s="52"/>
      <c r="C147" t="s">
        <v>218</v>
      </c>
      <c r="E147" s="80">
        <v>50</v>
      </c>
      <c r="G147" s="80">
        <v>50</v>
      </c>
    </row>
    <row r="148" spans="2:8">
      <c r="B148" s="52"/>
      <c r="C148" t="s">
        <v>219</v>
      </c>
      <c r="E148" s="80">
        <v>50</v>
      </c>
      <c r="G148" s="80">
        <v>50</v>
      </c>
    </row>
    <row r="149" spans="2:8">
      <c r="B149" s="52"/>
      <c r="E149" s="80"/>
    </row>
    <row r="150" spans="2:8">
      <c r="B150" s="52" t="s">
        <v>221</v>
      </c>
      <c r="E150" s="52" t="s">
        <v>222</v>
      </c>
      <c r="F150" s="52" t="s">
        <v>223</v>
      </c>
      <c r="H150" t="s">
        <v>224</v>
      </c>
    </row>
    <row r="151" spans="2:8">
      <c r="B151" s="67" t="s">
        <v>225</v>
      </c>
      <c r="C151" t="s">
        <v>217</v>
      </c>
      <c r="E151" s="80">
        <v>221.48</v>
      </c>
      <c r="F151">
        <v>4</v>
      </c>
      <c r="G151" s="80">
        <f>E151*F151</f>
        <v>885.92</v>
      </c>
    </row>
    <row r="152" spans="2:8">
      <c r="B152" s="67" t="s">
        <v>226</v>
      </c>
      <c r="C152" t="s">
        <v>218</v>
      </c>
      <c r="E152" s="80">
        <v>221.48</v>
      </c>
      <c r="F152">
        <v>4</v>
      </c>
      <c r="G152" s="80">
        <f>E152*F152</f>
        <v>885.92</v>
      </c>
    </row>
    <row r="153" spans="2:8">
      <c r="B153" s="52"/>
      <c r="C153" t="s">
        <v>219</v>
      </c>
      <c r="E153" s="80">
        <v>221.48</v>
      </c>
      <c r="F153">
        <v>4</v>
      </c>
      <c r="G153" s="80">
        <f>E153*F153</f>
        <v>885.92</v>
      </c>
    </row>
    <row r="154" spans="2:8">
      <c r="B154" s="52"/>
      <c r="E154" s="80"/>
    </row>
    <row r="155" spans="2:8">
      <c r="B155" s="52" t="s">
        <v>227</v>
      </c>
      <c r="E155" s="88" t="s">
        <v>228</v>
      </c>
      <c r="F155" s="52" t="s">
        <v>229</v>
      </c>
    </row>
    <row r="156" spans="2:8">
      <c r="B156" s="67" t="s">
        <v>230</v>
      </c>
      <c r="C156" t="s">
        <v>217</v>
      </c>
      <c r="E156" s="80">
        <v>80</v>
      </c>
      <c r="F156">
        <v>4</v>
      </c>
      <c r="G156" s="80">
        <f>E156*F156</f>
        <v>320</v>
      </c>
    </row>
    <row r="157" spans="2:8">
      <c r="B157" s="52"/>
      <c r="C157" t="s">
        <v>218</v>
      </c>
      <c r="E157" s="80">
        <v>80</v>
      </c>
      <c r="F157">
        <v>4</v>
      </c>
      <c r="G157" s="80">
        <f>E157*F157</f>
        <v>320</v>
      </c>
    </row>
    <row r="158" spans="2:8">
      <c r="C158" t="s">
        <v>219</v>
      </c>
      <c r="E158" s="80">
        <v>80</v>
      </c>
      <c r="F158">
        <v>4</v>
      </c>
      <c r="G158" s="80">
        <f>E158*F158</f>
        <v>320</v>
      </c>
    </row>
    <row r="159" spans="2:8">
      <c r="E159" s="80"/>
    </row>
    <row r="160" spans="2:8">
      <c r="B160" s="52" t="s">
        <v>231</v>
      </c>
      <c r="C160" t="s">
        <v>232</v>
      </c>
      <c r="E160" s="80">
        <v>50</v>
      </c>
      <c r="F160">
        <v>3</v>
      </c>
      <c r="G160" s="80">
        <f>E160*F160</f>
        <v>150</v>
      </c>
    </row>
    <row r="161" spans="2:7">
      <c r="F161" s="60" t="s">
        <v>116</v>
      </c>
      <c r="G161" s="104">
        <f>SUM(G142:G144,G146:G148,G151:G153,G156:G158,G160)</f>
        <v>4996.2800000000007</v>
      </c>
    </row>
    <row r="162" spans="2:7">
      <c r="B162" s="259" t="s">
        <v>233</v>
      </c>
      <c r="C162" s="259"/>
      <c r="D162" s="259"/>
      <c r="E162" s="259"/>
      <c r="F162" s="259"/>
      <c r="G162" s="259"/>
    </row>
    <row r="163" spans="2:7">
      <c r="B163" s="49"/>
      <c r="C163" t="s">
        <v>234</v>
      </c>
      <c r="E163" s="82">
        <v>150</v>
      </c>
      <c r="F163" s="122">
        <v>1</v>
      </c>
      <c r="G163" s="82">
        <v>150</v>
      </c>
    </row>
    <row r="164" spans="2:7">
      <c r="B164" s="49"/>
      <c r="C164" t="s">
        <v>235</v>
      </c>
      <c r="E164" s="82">
        <v>150</v>
      </c>
      <c r="F164" s="122">
        <v>1</v>
      </c>
      <c r="G164" s="82">
        <v>150</v>
      </c>
    </row>
    <row r="165" spans="2:7">
      <c r="B165" s="49"/>
      <c r="C165" t="s">
        <v>236</v>
      </c>
      <c r="E165" s="82">
        <v>150</v>
      </c>
      <c r="F165" s="122">
        <v>1</v>
      </c>
      <c r="G165" s="82">
        <v>150</v>
      </c>
    </row>
    <row r="166" spans="2:7">
      <c r="C166" t="s">
        <v>237</v>
      </c>
      <c r="E166" s="80">
        <v>100</v>
      </c>
      <c r="F166" s="122">
        <v>1</v>
      </c>
      <c r="G166" s="80">
        <v>100</v>
      </c>
    </row>
    <row r="167" spans="2:7">
      <c r="C167" t="s">
        <v>238</v>
      </c>
      <c r="E167" s="80">
        <v>100</v>
      </c>
      <c r="F167" s="122">
        <v>1</v>
      </c>
      <c r="G167" s="80">
        <v>100</v>
      </c>
    </row>
    <row r="168" spans="2:7">
      <c r="C168" t="s">
        <v>239</v>
      </c>
      <c r="E168" s="80">
        <v>100</v>
      </c>
      <c r="F168" s="122">
        <v>1</v>
      </c>
      <c r="G168" s="80">
        <v>100</v>
      </c>
    </row>
    <row r="169" spans="2:7">
      <c r="C169" t="s">
        <v>240</v>
      </c>
      <c r="E169" s="80">
        <v>100</v>
      </c>
      <c r="F169" s="122">
        <v>1</v>
      </c>
      <c r="G169" s="80">
        <v>100</v>
      </c>
    </row>
    <row r="170" spans="2:7">
      <c r="C170" t="s">
        <v>241</v>
      </c>
      <c r="E170" s="80">
        <v>150</v>
      </c>
      <c r="F170" s="122">
        <v>1</v>
      </c>
      <c r="G170" s="80">
        <v>150</v>
      </c>
    </row>
    <row r="171" spans="2:7">
      <c r="F171" s="60" t="s">
        <v>116</v>
      </c>
      <c r="G171" s="87">
        <f>SUM(G166:G170)</f>
        <v>550</v>
      </c>
    </row>
    <row r="172" spans="2:7">
      <c r="F172" s="52"/>
    </row>
    <row r="173" spans="2:7" ht="15.75">
      <c r="E173" s="108" t="s">
        <v>242</v>
      </c>
      <c r="F173" s="109"/>
      <c r="G173" s="110"/>
    </row>
    <row r="175" spans="2:7">
      <c r="B175" s="75"/>
      <c r="C175" s="75"/>
      <c r="D175" s="75"/>
      <c r="E175" s="75"/>
      <c r="F175" s="76" t="s">
        <v>150</v>
      </c>
      <c r="G175" s="98"/>
    </row>
    <row r="179" spans="6:7">
      <c r="F179" t="s">
        <v>243</v>
      </c>
    </row>
    <row r="180" spans="6:7">
      <c r="F180" t="s">
        <v>128</v>
      </c>
      <c r="G180" s="80">
        <v>5000</v>
      </c>
    </row>
    <row r="181" spans="6:7">
      <c r="F181" t="s">
        <v>244</v>
      </c>
      <c r="G181" s="80">
        <v>5000</v>
      </c>
    </row>
    <row r="182" spans="6:7">
      <c r="F182" t="s">
        <v>129</v>
      </c>
    </row>
  </sheetData>
  <mergeCells count="20">
    <mergeCell ref="B2:J2"/>
    <mergeCell ref="B3:J3"/>
    <mergeCell ref="B7:G7"/>
    <mergeCell ref="B46:G46"/>
    <mergeCell ref="B99:G99"/>
    <mergeCell ref="B103:G103"/>
    <mergeCell ref="B162:G162"/>
    <mergeCell ref="B4:J4"/>
    <mergeCell ref="B6:G6"/>
    <mergeCell ref="B45:G45"/>
    <mergeCell ref="B19:G19"/>
    <mergeCell ref="B27:G27"/>
    <mergeCell ref="B48:G48"/>
    <mergeCell ref="B55:G55"/>
    <mergeCell ref="B119:G119"/>
    <mergeCell ref="B126:G126"/>
    <mergeCell ref="B130:G130"/>
    <mergeCell ref="B140:G140"/>
    <mergeCell ref="B38:G38"/>
    <mergeCell ref="B117:G11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E9C115-5AA1-41BE-B45B-3E5FF2497E5F}">
  <dimension ref="B1:G136"/>
  <sheetViews>
    <sheetView workbookViewId="0">
      <selection activeCell="H68" sqref="H68"/>
    </sheetView>
  </sheetViews>
  <sheetFormatPr defaultRowHeight="15"/>
  <cols>
    <col min="2" max="2" width="39.28515625" bestFit="1" customWidth="1"/>
    <col min="3" max="3" width="27.7109375" bestFit="1" customWidth="1"/>
    <col min="4" max="4" width="14.7109375" customWidth="1"/>
    <col min="5" max="5" width="23" bestFit="1" customWidth="1"/>
    <col min="6" max="6" width="16.7109375" bestFit="1" customWidth="1"/>
    <col min="7" max="7" width="19.85546875" bestFit="1" customWidth="1"/>
  </cols>
  <sheetData>
    <row r="1" spans="2:7">
      <c r="B1" t="s">
        <v>245</v>
      </c>
      <c r="G1" s="80"/>
    </row>
    <row r="2" spans="2:7">
      <c r="B2" s="264" t="s">
        <v>99</v>
      </c>
      <c r="C2" s="264"/>
      <c r="D2" s="264"/>
      <c r="E2" s="264"/>
      <c r="F2" s="264"/>
      <c r="G2" s="264"/>
    </row>
    <row r="3" spans="2:7">
      <c r="B3" s="265" t="s">
        <v>101</v>
      </c>
      <c r="C3" s="265"/>
      <c r="D3" s="265"/>
      <c r="E3" s="265"/>
      <c r="F3" s="265"/>
      <c r="G3" s="265"/>
    </row>
    <row r="4" spans="2:7">
      <c r="B4" s="260" t="s">
        <v>103</v>
      </c>
      <c r="C4" s="260"/>
      <c r="D4" s="260"/>
      <c r="E4" s="260"/>
      <c r="F4" s="260"/>
      <c r="G4" s="260"/>
    </row>
    <row r="5" spans="2:7">
      <c r="G5" s="80"/>
    </row>
    <row r="6" spans="2:7">
      <c r="B6" s="261" t="s">
        <v>105</v>
      </c>
      <c r="C6" s="261"/>
      <c r="D6" s="261"/>
      <c r="E6" s="261"/>
      <c r="F6" s="261"/>
      <c r="G6" s="261"/>
    </row>
    <row r="7" spans="2:7">
      <c r="B7" s="262" t="s">
        <v>106</v>
      </c>
      <c r="C7" s="262"/>
      <c r="D7" s="262"/>
      <c r="E7" s="262"/>
      <c r="F7" s="262"/>
      <c r="G7" s="262"/>
    </row>
    <row r="8" spans="2:7">
      <c r="B8" s="59" t="s">
        <v>108</v>
      </c>
      <c r="C8" s="59"/>
      <c r="D8" s="59"/>
      <c r="E8" s="59" t="s">
        <v>109</v>
      </c>
      <c r="F8" s="59" t="s">
        <v>110</v>
      </c>
      <c r="G8" s="84" t="s">
        <v>111</v>
      </c>
    </row>
    <row r="9" spans="2:7">
      <c r="B9" t="s">
        <v>112</v>
      </c>
      <c r="E9" s="51">
        <v>150</v>
      </c>
      <c r="F9">
        <v>70</v>
      </c>
      <c r="G9" s="85">
        <f>E9*F9</f>
        <v>10500</v>
      </c>
    </row>
    <row r="10" spans="2:7">
      <c r="B10" t="s">
        <v>113</v>
      </c>
      <c r="E10" s="51">
        <v>150</v>
      </c>
      <c r="F10">
        <v>90</v>
      </c>
      <c r="G10" s="85">
        <f t="shared" ref="G10:G12" si="0">E10*F10</f>
        <v>13500</v>
      </c>
    </row>
    <row r="11" spans="2:7">
      <c r="B11" t="s">
        <v>114</v>
      </c>
      <c r="E11" s="51">
        <v>175</v>
      </c>
      <c r="F11">
        <v>25</v>
      </c>
      <c r="G11" s="85">
        <f t="shared" si="0"/>
        <v>4375</v>
      </c>
    </row>
    <row r="12" spans="2:7">
      <c r="B12" t="s">
        <v>115</v>
      </c>
      <c r="E12" s="56">
        <v>250</v>
      </c>
      <c r="F12" s="71">
        <v>15</v>
      </c>
      <c r="G12" s="86">
        <f t="shared" si="0"/>
        <v>3750</v>
      </c>
    </row>
    <row r="13" spans="2:7">
      <c r="E13" s="60" t="s">
        <v>122</v>
      </c>
      <c r="F13" s="57">
        <f>SUM(F9:F12)</f>
        <v>200</v>
      </c>
      <c r="G13" s="90">
        <f>SUM(G9:G12)</f>
        <v>32125</v>
      </c>
    </row>
    <row r="14" spans="2:7">
      <c r="G14" s="80"/>
    </row>
    <row r="15" spans="2:7">
      <c r="B15" s="262" t="s">
        <v>123</v>
      </c>
      <c r="C15" s="262"/>
      <c r="D15" s="262"/>
      <c r="E15" s="262"/>
      <c r="F15" s="262"/>
      <c r="G15" s="262"/>
    </row>
    <row r="16" spans="2:7">
      <c r="B16" s="61" t="s">
        <v>124</v>
      </c>
      <c r="C16" s="61"/>
      <c r="D16" s="61"/>
      <c r="E16" s="62"/>
      <c r="F16" s="62"/>
      <c r="G16" s="84" t="s">
        <v>125</v>
      </c>
    </row>
    <row r="17" spans="2:7">
      <c r="B17" s="73" t="s">
        <v>246</v>
      </c>
      <c r="C17" s="73"/>
      <c r="D17" s="73"/>
      <c r="E17" s="70"/>
      <c r="G17" s="92">
        <v>20000</v>
      </c>
    </row>
    <row r="18" spans="2:7">
      <c r="B18" s="73" t="s">
        <v>247</v>
      </c>
      <c r="C18" s="73"/>
      <c r="D18" s="73"/>
      <c r="E18" s="70" t="s">
        <v>248</v>
      </c>
      <c r="F18" s="70"/>
      <c r="G18" s="92">
        <v>0</v>
      </c>
    </row>
    <row r="19" spans="2:7">
      <c r="B19" s="73" t="s">
        <v>249</v>
      </c>
      <c r="C19" s="73"/>
      <c r="D19" s="73"/>
      <c r="E19" s="70" t="s">
        <v>248</v>
      </c>
      <c r="F19" s="70"/>
      <c r="G19" s="92">
        <v>0</v>
      </c>
    </row>
    <row r="20" spans="2:7">
      <c r="B20" s="73" t="s">
        <v>250</v>
      </c>
      <c r="C20" s="73"/>
      <c r="D20" s="73"/>
      <c r="E20" s="70" t="s">
        <v>248</v>
      </c>
      <c r="F20" s="70"/>
      <c r="G20" s="92">
        <v>0</v>
      </c>
    </row>
    <row r="21" spans="2:7">
      <c r="B21" s="70"/>
      <c r="C21" s="70"/>
      <c r="D21" s="70"/>
      <c r="E21" s="124" t="s">
        <v>130</v>
      </c>
      <c r="F21" s="127"/>
      <c r="G21" s="128">
        <f>SUM(G17:G17)</f>
        <v>20000</v>
      </c>
    </row>
    <row r="22" spans="2:7">
      <c r="B22" s="70"/>
      <c r="C22" s="70"/>
      <c r="D22" s="70"/>
      <c r="E22" s="70"/>
      <c r="F22" s="55"/>
      <c r="G22" s="93"/>
    </row>
    <row r="23" spans="2:7">
      <c r="B23" s="262" t="s">
        <v>139</v>
      </c>
      <c r="C23" s="262"/>
      <c r="D23" s="262"/>
      <c r="E23" s="262"/>
      <c r="F23" s="262"/>
      <c r="G23" s="262"/>
    </row>
    <row r="24" spans="2:7">
      <c r="B24" s="63" t="s">
        <v>124</v>
      </c>
      <c r="C24" s="63"/>
      <c r="D24" s="63"/>
      <c r="E24" s="64"/>
      <c r="F24" s="64"/>
      <c r="G24" s="94" t="s">
        <v>125</v>
      </c>
    </row>
    <row r="25" spans="2:7">
      <c r="B25" s="111" t="s">
        <v>251</v>
      </c>
      <c r="C25" s="131" t="s">
        <v>252</v>
      </c>
      <c r="D25" s="66"/>
      <c r="E25" s="66"/>
      <c r="F25" s="66"/>
      <c r="G25" s="97">
        <v>10000</v>
      </c>
    </row>
    <row r="26" spans="2:7">
      <c r="B26" s="66"/>
      <c r="C26" s="66"/>
      <c r="D26" s="66"/>
      <c r="E26" s="66"/>
      <c r="F26" s="66"/>
      <c r="G26" s="97"/>
    </row>
    <row r="27" spans="2:7">
      <c r="B27" s="75"/>
      <c r="C27" s="75"/>
      <c r="D27" s="75"/>
      <c r="E27" s="75"/>
      <c r="F27" s="76" t="s">
        <v>141</v>
      </c>
      <c r="G27" s="98">
        <f>G13+G21+G25</f>
        <v>62125</v>
      </c>
    </row>
    <row r="28" spans="2:7">
      <c r="B28" s="66"/>
      <c r="C28" s="66"/>
      <c r="D28" s="66"/>
      <c r="E28" s="66"/>
      <c r="F28" s="66"/>
      <c r="G28" s="97"/>
    </row>
    <row r="29" spans="2:7">
      <c r="B29" s="70"/>
      <c r="C29" s="70"/>
      <c r="D29" s="70"/>
      <c r="E29" s="70"/>
      <c r="F29" s="70"/>
      <c r="G29" s="99"/>
    </row>
    <row r="30" spans="2:7">
      <c r="B30" s="261" t="s">
        <v>142</v>
      </c>
      <c r="C30" s="261"/>
      <c r="D30" s="261"/>
      <c r="E30" s="261"/>
      <c r="F30" s="261"/>
      <c r="G30" s="261"/>
    </row>
    <row r="31" spans="2:7">
      <c r="B31" s="262" t="s">
        <v>143</v>
      </c>
      <c r="C31" s="262"/>
      <c r="D31" s="262"/>
      <c r="E31" s="262"/>
      <c r="F31" s="262"/>
      <c r="G31" s="262"/>
    </row>
    <row r="32" spans="2:7">
      <c r="B32" s="58" t="s">
        <v>145</v>
      </c>
      <c r="C32" s="58" t="s">
        <v>146</v>
      </c>
      <c r="D32" s="58" t="s">
        <v>253</v>
      </c>
      <c r="E32" s="58" t="s">
        <v>147</v>
      </c>
      <c r="F32" s="58" t="s">
        <v>110</v>
      </c>
      <c r="G32" s="89" t="s">
        <v>148</v>
      </c>
    </row>
    <row r="33" spans="2:7">
      <c r="B33" s="259" t="s">
        <v>41</v>
      </c>
      <c r="C33" s="259"/>
      <c r="D33" s="259"/>
      <c r="E33" s="259"/>
      <c r="F33" s="259"/>
      <c r="G33" s="259"/>
    </row>
    <row r="34" spans="2:7">
      <c r="C34" t="s">
        <v>151</v>
      </c>
      <c r="D34" t="s">
        <v>254</v>
      </c>
      <c r="E34" s="51">
        <f>0.272*1.35</f>
        <v>0.36720000000000003</v>
      </c>
      <c r="F34">
        <f>$F$13</f>
        <v>200</v>
      </c>
      <c r="G34" s="80">
        <f>E34*F34</f>
        <v>73.440000000000012</v>
      </c>
    </row>
    <row r="35" spans="2:7">
      <c r="C35" t="s">
        <v>153</v>
      </c>
      <c r="D35" t="s">
        <v>254</v>
      </c>
      <c r="E35" s="80">
        <f>0.82*1.35</f>
        <v>1.107</v>
      </c>
      <c r="F35">
        <f>$F$13</f>
        <v>200</v>
      </c>
      <c r="G35" s="80">
        <f t="shared" ref="G35:G38" si="1">E35*F35</f>
        <v>221.4</v>
      </c>
    </row>
    <row r="36" spans="2:7">
      <c r="G36" s="80">
        <f t="shared" si="1"/>
        <v>0</v>
      </c>
    </row>
    <row r="37" spans="2:7">
      <c r="G37" s="80">
        <f t="shared" si="1"/>
        <v>0</v>
      </c>
    </row>
    <row r="38" spans="2:7">
      <c r="G38" s="80">
        <f t="shared" si="1"/>
        <v>0</v>
      </c>
    </row>
    <row r="39" spans="2:7">
      <c r="F39" s="60" t="s">
        <v>116</v>
      </c>
      <c r="G39" s="87">
        <f>SUM(G34:G38)</f>
        <v>294.84000000000003</v>
      </c>
    </row>
    <row r="40" spans="2:7">
      <c r="B40" s="259" t="s">
        <v>157</v>
      </c>
      <c r="C40" s="259"/>
      <c r="D40" s="259"/>
      <c r="E40" s="259"/>
      <c r="F40" s="259"/>
      <c r="G40" s="259"/>
    </row>
    <row r="41" spans="2:7">
      <c r="B41" s="49" t="s">
        <v>57</v>
      </c>
      <c r="C41" s="49"/>
      <c r="D41" s="49"/>
      <c r="E41" s="49"/>
      <c r="F41" s="49"/>
      <c r="G41" s="81"/>
    </row>
    <row r="42" spans="2:7">
      <c r="B42" s="73"/>
      <c r="C42" s="73" t="s">
        <v>255</v>
      </c>
      <c r="D42" s="73"/>
      <c r="E42" s="77">
        <v>20</v>
      </c>
      <c r="F42" s="122">
        <f>$F$13</f>
        <v>200</v>
      </c>
      <c r="G42" s="82">
        <f>E42*F42</f>
        <v>4000</v>
      </c>
    </row>
    <row r="43" spans="2:7">
      <c r="B43" s="73"/>
      <c r="C43" s="73" t="s">
        <v>256</v>
      </c>
      <c r="D43" s="73"/>
      <c r="E43" s="77">
        <f>G43/F43</f>
        <v>6.1212499999999999</v>
      </c>
      <c r="F43" s="122">
        <f>$F$13</f>
        <v>200</v>
      </c>
      <c r="G43" s="82">
        <v>1224.25</v>
      </c>
    </row>
    <row r="44" spans="2:7">
      <c r="B44" s="73"/>
      <c r="C44" s="73" t="s">
        <v>165</v>
      </c>
      <c r="D44" s="73"/>
      <c r="E44" s="78">
        <v>30</v>
      </c>
      <c r="F44" s="122">
        <f>$F$13</f>
        <v>200</v>
      </c>
      <c r="G44" s="82">
        <f>E44*F44</f>
        <v>6000</v>
      </c>
    </row>
    <row r="45" spans="2:7">
      <c r="B45" s="73"/>
      <c r="C45" s="73"/>
      <c r="D45" s="73"/>
      <c r="E45" s="78"/>
      <c r="F45" s="69" t="s">
        <v>116</v>
      </c>
      <c r="G45" s="100">
        <f>SUM(G42:G44)</f>
        <v>11224.25</v>
      </c>
    </row>
    <row r="46" spans="2:7">
      <c r="B46" s="49" t="s">
        <v>72</v>
      </c>
      <c r="C46" s="73"/>
      <c r="D46" s="73"/>
      <c r="E46" s="78"/>
      <c r="F46" s="73"/>
      <c r="G46" s="82"/>
    </row>
    <row r="47" spans="2:7">
      <c r="B47" s="49"/>
      <c r="C47" s="73" t="s">
        <v>166</v>
      </c>
      <c r="D47" s="73"/>
      <c r="E47" s="78">
        <v>12</v>
      </c>
      <c r="F47" s="122">
        <f t="shared" ref="F47:F58" si="2">$F$13</f>
        <v>200</v>
      </c>
      <c r="G47" s="82">
        <f t="shared" ref="G47:G58" si="3">E47*F47</f>
        <v>2400</v>
      </c>
    </row>
    <row r="48" spans="2:7">
      <c r="B48" s="49"/>
      <c r="C48" s="73" t="s">
        <v>257</v>
      </c>
      <c r="D48" s="73"/>
      <c r="E48" s="78">
        <v>7.15</v>
      </c>
      <c r="F48" s="122">
        <f>$F$13</f>
        <v>200</v>
      </c>
      <c r="G48" s="82">
        <v>1430</v>
      </c>
    </row>
    <row r="49" spans="2:7">
      <c r="B49" s="73"/>
      <c r="C49" s="73" t="s">
        <v>170</v>
      </c>
      <c r="D49" s="73"/>
      <c r="E49" s="78">
        <v>20</v>
      </c>
      <c r="F49" s="122">
        <f>$F$13</f>
        <v>200</v>
      </c>
      <c r="G49" s="82">
        <f t="shared" si="3"/>
        <v>4000</v>
      </c>
    </row>
    <row r="50" spans="2:7">
      <c r="B50" s="73"/>
      <c r="C50" s="73" t="s">
        <v>256</v>
      </c>
      <c r="D50" s="73"/>
      <c r="E50" s="78">
        <f>G50/F50</f>
        <v>6.1212499999999999</v>
      </c>
      <c r="F50" s="122">
        <f t="shared" si="2"/>
        <v>200</v>
      </c>
      <c r="G50" s="82">
        <v>1224.25</v>
      </c>
    </row>
    <row r="51" spans="2:7">
      <c r="B51" s="73"/>
      <c r="C51" s="73" t="s">
        <v>171</v>
      </c>
      <c r="D51" s="73"/>
      <c r="E51" s="78">
        <v>30</v>
      </c>
      <c r="F51" s="122">
        <f t="shared" si="2"/>
        <v>200</v>
      </c>
      <c r="G51" s="82">
        <f t="shared" si="3"/>
        <v>6000</v>
      </c>
    </row>
    <row r="52" spans="2:7">
      <c r="B52" s="73"/>
      <c r="C52" s="73"/>
      <c r="D52" s="73"/>
      <c r="E52" s="78"/>
      <c r="F52" s="69" t="s">
        <v>116</v>
      </c>
      <c r="G52" s="100">
        <f>SUM(G47:G51)</f>
        <v>15054.25</v>
      </c>
    </row>
    <row r="53" spans="2:7">
      <c r="B53" s="49" t="s">
        <v>85</v>
      </c>
      <c r="C53" s="73"/>
      <c r="D53" s="73"/>
      <c r="E53" s="78"/>
      <c r="F53" s="73"/>
      <c r="G53" s="82"/>
    </row>
    <row r="54" spans="2:7">
      <c r="B54" s="49"/>
      <c r="C54" s="73" t="s">
        <v>172</v>
      </c>
      <c r="D54" s="73"/>
      <c r="E54" s="78">
        <v>12</v>
      </c>
      <c r="F54" s="122">
        <f t="shared" si="2"/>
        <v>200</v>
      </c>
      <c r="G54" s="82">
        <f t="shared" si="3"/>
        <v>2400</v>
      </c>
    </row>
    <row r="55" spans="2:7">
      <c r="B55" s="49"/>
      <c r="C55" s="73" t="s">
        <v>257</v>
      </c>
      <c r="D55" s="73"/>
      <c r="E55" s="119">
        <v>7.15</v>
      </c>
      <c r="F55" s="122">
        <f>$F$13</f>
        <v>200</v>
      </c>
      <c r="G55" s="82">
        <v>1430</v>
      </c>
    </row>
    <row r="56" spans="2:7">
      <c r="B56" s="73"/>
      <c r="C56" s="73" t="s">
        <v>173</v>
      </c>
      <c r="D56" s="73"/>
      <c r="E56" s="78">
        <v>20</v>
      </c>
      <c r="F56" s="122">
        <f t="shared" si="2"/>
        <v>200</v>
      </c>
      <c r="G56" s="82">
        <f t="shared" si="3"/>
        <v>4000</v>
      </c>
    </row>
    <row r="57" spans="2:7">
      <c r="B57" s="73"/>
      <c r="C57" s="73" t="s">
        <v>256</v>
      </c>
      <c r="D57" s="73"/>
      <c r="E57" s="78">
        <f>G57/F57</f>
        <v>6.1212499999999999</v>
      </c>
      <c r="F57" s="122">
        <f t="shared" si="2"/>
        <v>200</v>
      </c>
      <c r="G57" s="82">
        <v>1224.25</v>
      </c>
    </row>
    <row r="58" spans="2:7">
      <c r="B58" s="73"/>
      <c r="C58" s="73" t="s">
        <v>258</v>
      </c>
      <c r="D58" s="73"/>
      <c r="E58" s="77">
        <v>25</v>
      </c>
      <c r="F58" s="122">
        <f t="shared" si="2"/>
        <v>200</v>
      </c>
      <c r="G58" s="82">
        <f t="shared" si="3"/>
        <v>5000</v>
      </c>
    </row>
    <row r="59" spans="2:7">
      <c r="B59" s="73"/>
      <c r="C59" s="73"/>
      <c r="D59" s="73"/>
      <c r="E59" s="77"/>
      <c r="F59" s="69" t="s">
        <v>116</v>
      </c>
      <c r="G59" s="100">
        <f>SUM(G54:G58)</f>
        <v>14054.25</v>
      </c>
    </row>
    <row r="60" spans="2:7">
      <c r="B60" s="73"/>
      <c r="C60" s="73"/>
      <c r="D60" s="73"/>
      <c r="E60" s="77"/>
      <c r="F60" s="49"/>
      <c r="G60" s="100"/>
    </row>
    <row r="61" spans="2:7">
      <c r="B61" s="73"/>
      <c r="C61" s="73"/>
      <c r="D61" s="73"/>
      <c r="E61" s="77"/>
      <c r="F61" s="69" t="s">
        <v>175</v>
      </c>
      <c r="G61" s="100">
        <f>SUM(G45,G52,G59)</f>
        <v>40332.75</v>
      </c>
    </row>
    <row r="62" spans="2:7">
      <c r="B62" s="259" t="s">
        <v>49</v>
      </c>
      <c r="C62" s="259"/>
      <c r="D62" s="259"/>
      <c r="E62" s="259"/>
      <c r="F62" s="259"/>
      <c r="G62" s="266"/>
    </row>
    <row r="63" spans="2:7">
      <c r="B63" s="49" t="s">
        <v>176</v>
      </c>
      <c r="C63" s="73" t="s">
        <v>177</v>
      </c>
      <c r="D63" s="73"/>
      <c r="E63" s="82">
        <v>60</v>
      </c>
      <c r="F63" s="73">
        <v>10</v>
      </c>
      <c r="G63" s="83">
        <f>E63*F63</f>
        <v>600</v>
      </c>
    </row>
    <row r="64" spans="2:7">
      <c r="B64" s="49" t="s">
        <v>259</v>
      </c>
      <c r="C64" s="73" t="s">
        <v>53</v>
      </c>
      <c r="D64" s="73"/>
      <c r="E64" s="77"/>
      <c r="F64" s="49"/>
      <c r="G64" s="81"/>
    </row>
    <row r="65" spans="2:7">
      <c r="E65" s="52"/>
      <c r="F65" s="106" t="s">
        <v>116</v>
      </c>
      <c r="G65" s="107">
        <f>SUM(G63:G64)</f>
        <v>600</v>
      </c>
    </row>
    <row r="66" spans="2:7">
      <c r="E66" s="52"/>
      <c r="F66" s="52"/>
      <c r="G66" s="101"/>
    </row>
    <row r="67" spans="2:7">
      <c r="B67" s="267" t="s">
        <v>260</v>
      </c>
      <c r="C67" s="267"/>
      <c r="D67" s="267"/>
      <c r="E67" s="267"/>
      <c r="F67" s="267"/>
      <c r="G67" s="267"/>
    </row>
    <row r="68" spans="2:7">
      <c r="B68" s="49" t="s">
        <v>261</v>
      </c>
      <c r="C68" s="49"/>
      <c r="D68" s="49"/>
      <c r="E68" s="49"/>
      <c r="F68" s="49"/>
      <c r="G68" s="81">
        <f>0.1*(G39+G61+G65+G131)</f>
        <v>4892.3869999999997</v>
      </c>
    </row>
    <row r="69" spans="2:7">
      <c r="F69" s="52"/>
      <c r="G69" s="80"/>
    </row>
    <row r="70" spans="2:7" ht="15.75">
      <c r="E70" s="108" t="s">
        <v>197</v>
      </c>
      <c r="F70" s="109"/>
      <c r="G70" s="110">
        <f>G39+G61+G65+G68</f>
        <v>46119.976999999999</v>
      </c>
    </row>
    <row r="71" spans="2:7">
      <c r="E71" s="52"/>
      <c r="F71" s="52"/>
      <c r="G71" s="101"/>
    </row>
    <row r="72" spans="2:7">
      <c r="B72" s="263" t="s">
        <v>198</v>
      </c>
      <c r="C72" s="263"/>
      <c r="D72" s="263"/>
      <c r="E72" s="263"/>
      <c r="F72" s="263"/>
      <c r="G72" s="263"/>
    </row>
    <row r="73" spans="2:7">
      <c r="B73" s="58" t="s">
        <v>145</v>
      </c>
      <c r="C73" s="58" t="s">
        <v>146</v>
      </c>
      <c r="D73" s="58"/>
      <c r="E73" s="58" t="s">
        <v>199</v>
      </c>
      <c r="F73" s="58" t="s">
        <v>262</v>
      </c>
      <c r="G73" s="89" t="s">
        <v>148</v>
      </c>
    </row>
    <row r="74" spans="2:7">
      <c r="B74" s="259" t="s">
        <v>263</v>
      </c>
      <c r="C74" s="259"/>
      <c r="D74" s="259"/>
      <c r="E74" s="259"/>
      <c r="F74" s="259"/>
      <c r="G74" s="259"/>
    </row>
    <row r="75" spans="2:7">
      <c r="B75" s="129" t="s">
        <v>264</v>
      </c>
      <c r="C75" s="73"/>
      <c r="D75" s="73"/>
      <c r="E75" s="72">
        <f>E9</f>
        <v>150</v>
      </c>
      <c r="F75" s="73">
        <v>2</v>
      </c>
      <c r="G75" s="130">
        <f>E75*F75</f>
        <v>300</v>
      </c>
    </row>
    <row r="76" spans="2:7">
      <c r="B76" s="73" t="s">
        <v>265</v>
      </c>
      <c r="C76" s="73"/>
      <c r="D76" s="73"/>
      <c r="E76" s="72">
        <f>E10</f>
        <v>150</v>
      </c>
      <c r="F76" s="73">
        <v>5</v>
      </c>
      <c r="G76" s="130">
        <f t="shared" ref="G76:G78" si="4">E76*F76</f>
        <v>750</v>
      </c>
    </row>
    <row r="77" spans="2:7">
      <c r="B77" s="73" t="s">
        <v>266</v>
      </c>
      <c r="C77" s="73"/>
      <c r="D77" s="73"/>
      <c r="E77" s="72">
        <f>E11</f>
        <v>175</v>
      </c>
      <c r="F77" s="73">
        <v>2</v>
      </c>
      <c r="G77" s="130">
        <f t="shared" si="4"/>
        <v>350</v>
      </c>
    </row>
    <row r="78" spans="2:7">
      <c r="B78" s="73" t="s">
        <v>267</v>
      </c>
      <c r="C78" s="73"/>
      <c r="D78" s="73"/>
      <c r="E78" s="72">
        <f>E12</f>
        <v>250</v>
      </c>
      <c r="F78" s="73">
        <v>1</v>
      </c>
      <c r="G78" s="130">
        <f t="shared" si="4"/>
        <v>250</v>
      </c>
    </row>
    <row r="79" spans="2:7">
      <c r="B79" s="73" t="s">
        <v>179</v>
      </c>
      <c r="C79" s="73"/>
      <c r="D79" s="73"/>
      <c r="E79" s="72">
        <v>250</v>
      </c>
      <c r="F79" s="73">
        <v>3</v>
      </c>
      <c r="G79" s="130">
        <f>E79*F79</f>
        <v>750</v>
      </c>
    </row>
    <row r="80" spans="2:7">
      <c r="B80" s="73"/>
      <c r="C80" s="73"/>
      <c r="D80" s="73"/>
      <c r="E80" s="73"/>
      <c r="F80" s="79" t="s">
        <v>116</v>
      </c>
      <c r="G80" s="102">
        <f>SUM(G75:G79)</f>
        <v>2400</v>
      </c>
    </row>
    <row r="81" spans="2:7">
      <c r="B81" s="267" t="s">
        <v>41</v>
      </c>
      <c r="C81" s="267"/>
      <c r="D81" s="267"/>
      <c r="E81" s="267"/>
      <c r="F81" s="267"/>
      <c r="G81" s="267"/>
    </row>
    <row r="82" spans="2:7">
      <c r="B82" s="52" t="s">
        <v>200</v>
      </c>
      <c r="C82" t="s">
        <v>201</v>
      </c>
      <c r="E82" s="52"/>
      <c r="F82" s="52"/>
      <c r="G82" s="80">
        <v>78</v>
      </c>
    </row>
    <row r="83" spans="2:7">
      <c r="B83" s="52" t="s">
        <v>203</v>
      </c>
      <c r="C83" t="s">
        <v>204</v>
      </c>
      <c r="E83" s="74">
        <v>16</v>
      </c>
      <c r="F83" s="112">
        <v>12</v>
      </c>
      <c r="G83" s="92">
        <f>E83*F83</f>
        <v>192</v>
      </c>
    </row>
    <row r="84" spans="2:7">
      <c r="E84" s="53"/>
      <c r="F84" s="53"/>
      <c r="G84" s="92"/>
    </row>
    <row r="85" spans="2:7">
      <c r="E85" s="53"/>
      <c r="F85" s="53"/>
      <c r="G85" s="92"/>
    </row>
    <row r="86" spans="2:7">
      <c r="E86" s="53"/>
      <c r="F86" s="53"/>
      <c r="G86" s="92"/>
    </row>
    <row r="87" spans="2:7">
      <c r="E87" s="53"/>
      <c r="F87" s="79" t="s">
        <v>116</v>
      </c>
      <c r="G87" s="102">
        <f>G82+G83</f>
        <v>270</v>
      </c>
    </row>
    <row r="88" spans="2:7">
      <c r="B88" s="259" t="s">
        <v>49</v>
      </c>
      <c r="C88" s="259"/>
      <c r="D88" s="259"/>
      <c r="E88" s="259"/>
      <c r="F88" s="259"/>
      <c r="G88" s="259"/>
    </row>
    <row r="89" spans="2:7">
      <c r="B89" s="49" t="s">
        <v>210</v>
      </c>
      <c r="C89" s="49"/>
      <c r="D89" s="49"/>
      <c r="E89" s="49"/>
      <c r="F89" s="49"/>
      <c r="G89" s="81"/>
    </row>
    <row r="90" spans="2:7">
      <c r="C90" t="s">
        <v>50</v>
      </c>
      <c r="E90" s="80"/>
      <c r="G90" s="80"/>
    </row>
    <row r="91" spans="2:7">
      <c r="C91" t="s">
        <v>51</v>
      </c>
      <c r="E91" s="80"/>
      <c r="G91" s="80">
        <v>1200</v>
      </c>
    </row>
    <row r="92" spans="2:7">
      <c r="B92" s="52" t="s">
        <v>176</v>
      </c>
      <c r="G92" s="80"/>
    </row>
    <row r="93" spans="2:7">
      <c r="C93" t="s">
        <v>212</v>
      </c>
      <c r="E93" s="80"/>
      <c r="G93" s="80">
        <v>150</v>
      </c>
    </row>
    <row r="94" spans="2:7">
      <c r="C94" t="s">
        <v>53</v>
      </c>
      <c r="E94" s="80"/>
      <c r="G94" s="80">
        <v>80</v>
      </c>
    </row>
    <row r="95" spans="2:7">
      <c r="C95" t="s">
        <v>54</v>
      </c>
      <c r="G95" s="80">
        <v>300</v>
      </c>
    </row>
    <row r="96" spans="2:7">
      <c r="G96" s="80"/>
    </row>
    <row r="97" spans="2:7">
      <c r="F97" s="60" t="s">
        <v>116</v>
      </c>
      <c r="G97" s="103">
        <f>SUM(G91:G95)</f>
        <v>1730</v>
      </c>
    </row>
    <row r="98" spans="2:7">
      <c r="B98" s="259" t="s">
        <v>179</v>
      </c>
      <c r="C98" s="259"/>
      <c r="D98" s="259"/>
      <c r="E98" s="259"/>
      <c r="F98" s="259"/>
      <c r="G98" s="259"/>
    </row>
    <row r="99" spans="2:7">
      <c r="B99" s="52" t="s">
        <v>182</v>
      </c>
      <c r="E99" t="s">
        <v>213</v>
      </c>
      <c r="F99" t="s">
        <v>214</v>
      </c>
      <c r="G99" s="80"/>
    </row>
    <row r="100" spans="2:7">
      <c r="B100" s="67" t="s">
        <v>216</v>
      </c>
      <c r="C100" t="s">
        <v>217</v>
      </c>
      <c r="E100" s="80">
        <v>0.59</v>
      </c>
      <c r="F100">
        <v>144</v>
      </c>
      <c r="G100" s="80">
        <f>E100*F100</f>
        <v>84.96</v>
      </c>
    </row>
    <row r="101" spans="2:7">
      <c r="B101" s="52"/>
      <c r="C101" t="s">
        <v>218</v>
      </c>
      <c r="E101" s="80">
        <v>0.59</v>
      </c>
      <c r="F101">
        <v>1098</v>
      </c>
      <c r="G101" s="80">
        <f>E101*F101</f>
        <v>647.81999999999994</v>
      </c>
    </row>
    <row r="102" spans="2:7">
      <c r="B102" s="52"/>
      <c r="C102" t="s">
        <v>219</v>
      </c>
      <c r="E102" s="80">
        <v>0.59</v>
      </c>
      <c r="F102">
        <v>586</v>
      </c>
      <c r="G102" s="80">
        <f>E102*F102</f>
        <v>345.74</v>
      </c>
    </row>
    <row r="103" spans="2:7">
      <c r="B103" s="52"/>
      <c r="E103" s="80"/>
      <c r="G103" s="80"/>
    </row>
    <row r="104" spans="2:7">
      <c r="B104" t="s">
        <v>220</v>
      </c>
      <c r="C104" t="s">
        <v>217</v>
      </c>
      <c r="E104" s="80">
        <v>50</v>
      </c>
      <c r="G104" s="80">
        <v>50</v>
      </c>
    </row>
    <row r="105" spans="2:7">
      <c r="B105" s="52"/>
      <c r="C105" t="s">
        <v>218</v>
      </c>
      <c r="E105" s="80">
        <v>50</v>
      </c>
      <c r="G105" s="80">
        <v>50</v>
      </c>
    </row>
    <row r="106" spans="2:7">
      <c r="B106" s="52"/>
      <c r="C106" t="s">
        <v>219</v>
      </c>
      <c r="E106" s="80">
        <v>50</v>
      </c>
      <c r="G106" s="80">
        <v>50</v>
      </c>
    </row>
    <row r="107" spans="2:7">
      <c r="B107" s="52"/>
      <c r="E107" s="80"/>
      <c r="G107" s="80"/>
    </row>
    <row r="108" spans="2:7">
      <c r="B108" s="52" t="s">
        <v>221</v>
      </c>
      <c r="E108" t="s">
        <v>222</v>
      </c>
      <c r="F108" t="s">
        <v>223</v>
      </c>
      <c r="G108" s="80"/>
    </row>
    <row r="109" spans="2:7">
      <c r="B109" s="67" t="s">
        <v>225</v>
      </c>
      <c r="C109" t="s">
        <v>217</v>
      </c>
      <c r="E109" s="80">
        <v>221.48</v>
      </c>
      <c r="F109">
        <v>4</v>
      </c>
      <c r="G109" s="80">
        <f>E109*F109</f>
        <v>885.92</v>
      </c>
    </row>
    <row r="110" spans="2:7">
      <c r="B110" s="67" t="s">
        <v>226</v>
      </c>
      <c r="C110" t="s">
        <v>218</v>
      </c>
      <c r="E110" s="80">
        <v>221.48</v>
      </c>
      <c r="F110">
        <v>4</v>
      </c>
      <c r="G110" s="80">
        <f>E110*F110</f>
        <v>885.92</v>
      </c>
    </row>
    <row r="111" spans="2:7">
      <c r="B111" s="52"/>
      <c r="C111" t="s">
        <v>219</v>
      </c>
      <c r="E111" s="80">
        <v>221.48</v>
      </c>
      <c r="F111">
        <v>4</v>
      </c>
      <c r="G111" s="80">
        <f>E111*F111</f>
        <v>885.92</v>
      </c>
    </row>
    <row r="112" spans="2:7">
      <c r="B112" s="52"/>
      <c r="E112" s="80"/>
      <c r="G112" s="80"/>
    </row>
    <row r="113" spans="2:7">
      <c r="B113" s="52" t="s">
        <v>227</v>
      </c>
      <c r="E113" s="80" t="s">
        <v>228</v>
      </c>
      <c r="F113" t="s">
        <v>229</v>
      </c>
      <c r="G113" s="80"/>
    </row>
    <row r="114" spans="2:7">
      <c r="B114" s="67" t="s">
        <v>230</v>
      </c>
      <c r="C114" t="s">
        <v>217</v>
      </c>
      <c r="E114" s="80">
        <v>80</v>
      </c>
      <c r="F114">
        <v>4</v>
      </c>
      <c r="G114" s="80">
        <f>E114*F114</f>
        <v>320</v>
      </c>
    </row>
    <row r="115" spans="2:7">
      <c r="B115" s="52"/>
      <c r="C115" t="s">
        <v>218</v>
      </c>
      <c r="E115" s="80">
        <v>80</v>
      </c>
      <c r="F115">
        <v>4</v>
      </c>
      <c r="G115" s="80">
        <f>E115*F115</f>
        <v>320</v>
      </c>
    </row>
    <row r="116" spans="2:7">
      <c r="C116" t="s">
        <v>219</v>
      </c>
      <c r="E116" s="80">
        <v>80</v>
      </c>
      <c r="F116">
        <v>4</v>
      </c>
      <c r="G116" s="80">
        <f>E116*F116</f>
        <v>320</v>
      </c>
    </row>
    <row r="117" spans="2:7">
      <c r="E117" s="80"/>
      <c r="G117" s="80"/>
    </row>
    <row r="118" spans="2:7">
      <c r="B118" s="52" t="s">
        <v>231</v>
      </c>
      <c r="C118" t="s">
        <v>232</v>
      </c>
      <c r="E118" s="80">
        <v>100</v>
      </c>
      <c r="F118">
        <v>3</v>
      </c>
      <c r="G118" s="80">
        <f>E118*F118</f>
        <v>300</v>
      </c>
    </row>
    <row r="119" spans="2:7">
      <c r="F119" s="60" t="s">
        <v>116</v>
      </c>
      <c r="G119" s="104">
        <f>SUM(G100:G102,G104:G106,G109:G111,G114:G116,G118)</f>
        <v>5146.2800000000007</v>
      </c>
    </row>
    <row r="120" spans="2:7">
      <c r="B120" s="259" t="s">
        <v>268</v>
      </c>
      <c r="C120" s="259"/>
      <c r="D120" s="259"/>
      <c r="E120" s="259"/>
      <c r="F120" s="259"/>
      <c r="G120" s="259"/>
    </row>
    <row r="121" spans="2:7">
      <c r="B121" s="49"/>
      <c r="C121" t="s">
        <v>234</v>
      </c>
      <c r="E121" s="49"/>
      <c r="F121" s="49"/>
      <c r="G121" s="82">
        <v>150</v>
      </c>
    </row>
    <row r="122" spans="2:7">
      <c r="B122" s="49"/>
      <c r="C122" t="s">
        <v>235</v>
      </c>
      <c r="E122" s="49"/>
      <c r="F122" s="49"/>
      <c r="G122" s="82">
        <v>150</v>
      </c>
    </row>
    <row r="123" spans="2:7">
      <c r="B123" s="49"/>
      <c r="C123" t="s">
        <v>236</v>
      </c>
      <c r="E123" s="49"/>
      <c r="F123" s="49"/>
      <c r="G123" s="82">
        <v>150</v>
      </c>
    </row>
    <row r="124" spans="2:7">
      <c r="C124" t="s">
        <v>237</v>
      </c>
      <c r="G124" s="80">
        <v>100</v>
      </c>
    </row>
    <row r="125" spans="2:7">
      <c r="C125" t="s">
        <v>238</v>
      </c>
      <c r="G125" s="80">
        <v>100</v>
      </c>
    </row>
    <row r="126" spans="2:7">
      <c r="C126" t="s">
        <v>239</v>
      </c>
      <c r="G126" s="80">
        <v>100</v>
      </c>
    </row>
    <row r="127" spans="2:7">
      <c r="C127" t="s">
        <v>240</v>
      </c>
      <c r="G127" s="80">
        <v>100</v>
      </c>
    </row>
    <row r="128" spans="2:7">
      <c r="C128" t="s">
        <v>241</v>
      </c>
      <c r="G128" s="80">
        <v>150</v>
      </c>
    </row>
    <row r="129" spans="2:7">
      <c r="F129" s="60" t="s">
        <v>116</v>
      </c>
      <c r="G129" s="87">
        <f>SUM(G124:G128)</f>
        <v>550</v>
      </c>
    </row>
    <row r="130" spans="2:7">
      <c r="F130" s="52"/>
      <c r="G130" s="80"/>
    </row>
    <row r="131" spans="2:7" ht="15.75">
      <c r="E131" s="108" t="s">
        <v>242</v>
      </c>
      <c r="F131" s="109"/>
      <c r="G131" s="110">
        <f>G87+G97+G119+G129</f>
        <v>7696.2800000000007</v>
      </c>
    </row>
    <row r="132" spans="2:7">
      <c r="G132" s="80"/>
    </row>
    <row r="133" spans="2:7">
      <c r="B133" s="75"/>
      <c r="C133" s="75"/>
      <c r="D133" s="75"/>
      <c r="E133" s="75"/>
      <c r="F133" s="76" t="s">
        <v>150</v>
      </c>
      <c r="G133" s="98"/>
    </row>
    <row r="134" spans="2:7">
      <c r="G134" s="80">
        <f>G131+G70</f>
        <v>53816.256999999998</v>
      </c>
    </row>
    <row r="136" spans="2:7">
      <c r="F136" s="52" t="s">
        <v>269</v>
      </c>
      <c r="G136" s="80">
        <f>G27-G134</f>
        <v>8308.7430000000022</v>
      </c>
    </row>
  </sheetData>
  <mergeCells count="19">
    <mergeCell ref="B15:G15"/>
    <mergeCell ref="B2:G2"/>
    <mergeCell ref="B3:G3"/>
    <mergeCell ref="B4:G4"/>
    <mergeCell ref="B6:G6"/>
    <mergeCell ref="B7:G7"/>
    <mergeCell ref="B23:G23"/>
    <mergeCell ref="B30:G30"/>
    <mergeCell ref="B31:G31"/>
    <mergeCell ref="B33:G33"/>
    <mergeCell ref="B40:G40"/>
    <mergeCell ref="B98:G98"/>
    <mergeCell ref="B120:G120"/>
    <mergeCell ref="B62:G62"/>
    <mergeCell ref="B72:G72"/>
    <mergeCell ref="B74:G74"/>
    <mergeCell ref="B88:G88"/>
    <mergeCell ref="B81:G81"/>
    <mergeCell ref="B67:G6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2E2137-87A1-4AF7-AA7D-490B8B35AE0C}">
  <dimension ref="A1:D23"/>
  <sheetViews>
    <sheetView workbookViewId="0">
      <selection activeCell="D9" sqref="D9"/>
    </sheetView>
  </sheetViews>
  <sheetFormatPr defaultRowHeight="15"/>
  <cols>
    <col min="1" max="1" width="19.5703125" bestFit="1" customWidth="1"/>
    <col min="2" max="2" width="19.28515625" bestFit="1" customWidth="1"/>
  </cols>
  <sheetData>
    <row r="1" spans="1:4">
      <c r="A1" s="52" t="s">
        <v>270</v>
      </c>
    </row>
    <row r="2" spans="1:4">
      <c r="A2" t="s">
        <v>271</v>
      </c>
      <c r="B2" t="s">
        <v>272</v>
      </c>
      <c r="C2" s="117">
        <v>0.59</v>
      </c>
      <c r="D2" s="120">
        <f>72*0.59*2</f>
        <v>84.96</v>
      </c>
    </row>
    <row r="3" spans="1:4">
      <c r="A3" t="s">
        <v>221</v>
      </c>
      <c r="B3" t="s">
        <v>273</v>
      </c>
      <c r="C3" t="s">
        <v>274</v>
      </c>
      <c r="D3" s="120">
        <f>221.48*4</f>
        <v>885.92</v>
      </c>
    </row>
    <row r="4" spans="1:4">
      <c r="A4" t="s">
        <v>275</v>
      </c>
      <c r="B4" t="s">
        <v>276</v>
      </c>
      <c r="C4" t="s">
        <v>277</v>
      </c>
      <c r="D4" s="120">
        <f>80*4</f>
        <v>320</v>
      </c>
    </row>
    <row r="5" spans="1:4">
      <c r="A5" t="s">
        <v>278</v>
      </c>
      <c r="D5" s="121">
        <v>100</v>
      </c>
    </row>
    <row r="6" spans="1:4">
      <c r="A6" t="s">
        <v>279</v>
      </c>
      <c r="D6" s="121">
        <v>50</v>
      </c>
    </row>
    <row r="8" spans="1:4">
      <c r="A8" s="52" t="s">
        <v>280</v>
      </c>
    </row>
    <row r="9" spans="1:4">
      <c r="A9" t="s">
        <v>271</v>
      </c>
      <c r="B9" t="s">
        <v>281</v>
      </c>
      <c r="C9" s="117">
        <v>0.59</v>
      </c>
      <c r="D9" s="120">
        <f>0.59*549*2</f>
        <v>647.81999999999994</v>
      </c>
    </row>
    <row r="10" spans="1:4">
      <c r="A10" t="s">
        <v>221</v>
      </c>
      <c r="B10" t="s">
        <v>273</v>
      </c>
      <c r="C10" t="s">
        <v>274</v>
      </c>
      <c r="D10" s="120">
        <f>221.48*4</f>
        <v>885.92</v>
      </c>
    </row>
    <row r="11" spans="1:4">
      <c r="A11" t="s">
        <v>275</v>
      </c>
      <c r="B11" t="s">
        <v>276</v>
      </c>
      <c r="C11" t="s">
        <v>277</v>
      </c>
      <c r="D11" s="120">
        <f>80*4</f>
        <v>320</v>
      </c>
    </row>
    <row r="12" spans="1:4">
      <c r="A12" t="s">
        <v>278</v>
      </c>
      <c r="D12" s="121">
        <v>100</v>
      </c>
    </row>
    <row r="13" spans="1:4">
      <c r="A13" t="s">
        <v>279</v>
      </c>
      <c r="D13" s="121">
        <v>50</v>
      </c>
    </row>
    <row r="15" spans="1:4">
      <c r="A15" s="52" t="s">
        <v>282</v>
      </c>
    </row>
    <row r="16" spans="1:4">
      <c r="A16" t="s">
        <v>271</v>
      </c>
      <c r="B16" t="s">
        <v>283</v>
      </c>
      <c r="C16" s="117">
        <v>0.59</v>
      </c>
      <c r="D16" s="120">
        <f>293*0.59*2</f>
        <v>345.74</v>
      </c>
    </row>
    <row r="17" spans="1:4">
      <c r="A17" t="s">
        <v>221</v>
      </c>
      <c r="B17" t="s">
        <v>273</v>
      </c>
      <c r="C17" t="s">
        <v>274</v>
      </c>
      <c r="D17" s="120">
        <f>221.48*4</f>
        <v>885.92</v>
      </c>
    </row>
    <row r="18" spans="1:4">
      <c r="A18" t="s">
        <v>275</v>
      </c>
      <c r="B18" t="s">
        <v>276</v>
      </c>
      <c r="C18" t="s">
        <v>277</v>
      </c>
      <c r="D18" s="120">
        <f>80*4</f>
        <v>320</v>
      </c>
    </row>
    <row r="19" spans="1:4">
      <c r="A19" t="s">
        <v>278</v>
      </c>
      <c r="D19" s="121">
        <v>100</v>
      </c>
    </row>
    <row r="20" spans="1:4">
      <c r="A20" t="s">
        <v>279</v>
      </c>
      <c r="D20" s="121">
        <v>50</v>
      </c>
    </row>
    <row r="21" spans="1:4">
      <c r="D21" s="117"/>
    </row>
    <row r="23" spans="1:4">
      <c r="D23" s="120">
        <f>SUM(D16:D20,D9:D13,D2:D6)</f>
        <v>5146.28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84A432-4C84-4654-A980-F4F7E1848535}">
  <dimension ref="B1:P229"/>
  <sheetViews>
    <sheetView tabSelected="1" topLeftCell="B168" workbookViewId="0">
      <selection activeCell="G179" sqref="G179"/>
    </sheetView>
  </sheetViews>
  <sheetFormatPr defaultRowHeight="15.75"/>
  <cols>
    <col min="1" max="1" width="9.140625" style="137"/>
    <col min="2" max="2" width="56" style="137" bestFit="1" customWidth="1"/>
    <col min="3" max="3" width="34.85546875" style="137" bestFit="1" customWidth="1"/>
    <col min="4" max="4" width="30.85546875" style="137" customWidth="1"/>
    <col min="5" max="5" width="25.7109375" style="137" bestFit="1" customWidth="1"/>
    <col min="6" max="6" width="20.140625" style="137" bestFit="1" customWidth="1"/>
    <col min="7" max="7" width="19.85546875" style="137" bestFit="1" customWidth="1"/>
    <col min="8" max="8" width="18.140625" style="137" customWidth="1"/>
    <col min="9" max="9" width="13.42578125" style="137" customWidth="1"/>
    <col min="10" max="10" width="17.140625" style="137" customWidth="1"/>
    <col min="11" max="11" width="47.140625" style="137" customWidth="1"/>
    <col min="12" max="12" width="20" style="137" bestFit="1" customWidth="1"/>
    <col min="13" max="16384" width="9.140625" style="137"/>
  </cols>
  <sheetData>
    <row r="1" spans="2:15">
      <c r="B1" s="137" t="s">
        <v>245</v>
      </c>
      <c r="G1" s="138"/>
      <c r="H1" s="138"/>
      <c r="I1" s="138"/>
    </row>
    <row r="2" spans="2:15">
      <c r="B2" s="273" t="s">
        <v>99</v>
      </c>
      <c r="C2" s="273"/>
      <c r="D2" s="273"/>
      <c r="E2" s="273"/>
      <c r="F2" s="273"/>
      <c r="G2" s="273"/>
      <c r="H2" s="273"/>
      <c r="I2" s="273"/>
      <c r="J2" s="273"/>
    </row>
    <row r="3" spans="2:15">
      <c r="B3" s="274" t="s">
        <v>101</v>
      </c>
      <c r="C3" s="274"/>
      <c r="D3" s="274"/>
      <c r="E3" s="274"/>
      <c r="F3" s="274"/>
      <c r="G3" s="274"/>
      <c r="H3" s="274"/>
      <c r="I3" s="274"/>
      <c r="J3" s="274"/>
    </row>
    <row r="4" spans="2:15">
      <c r="B4" s="275" t="s">
        <v>103</v>
      </c>
      <c r="C4" s="275"/>
      <c r="D4" s="275"/>
      <c r="E4" s="275"/>
      <c r="F4" s="275"/>
      <c r="G4" s="275"/>
      <c r="H4" s="275"/>
      <c r="I4" s="275"/>
      <c r="J4" s="275"/>
    </row>
    <row r="5" spans="2:15">
      <c r="G5" s="138"/>
      <c r="H5" s="138"/>
      <c r="I5" s="138"/>
    </row>
    <row r="6" spans="2:15">
      <c r="B6" s="276" t="s">
        <v>105</v>
      </c>
      <c r="C6" s="276"/>
      <c r="D6" s="276"/>
      <c r="E6" s="276"/>
      <c r="F6" s="276"/>
      <c r="G6" s="276"/>
      <c r="H6" s="276"/>
      <c r="I6" s="276"/>
      <c r="J6" s="276"/>
    </row>
    <row r="7" spans="2:15">
      <c r="B7" s="269" t="s">
        <v>106</v>
      </c>
      <c r="C7" s="269"/>
      <c r="D7" s="269"/>
      <c r="E7" s="269"/>
      <c r="F7" s="269"/>
      <c r="G7" s="269"/>
      <c r="H7" s="269"/>
      <c r="I7" s="269"/>
      <c r="J7" s="269"/>
    </row>
    <row r="8" spans="2:15">
      <c r="B8" s="139" t="s">
        <v>108</v>
      </c>
      <c r="C8" s="139"/>
      <c r="D8" s="139"/>
      <c r="E8" s="139" t="s">
        <v>109</v>
      </c>
      <c r="F8" s="139" t="s">
        <v>110</v>
      </c>
      <c r="G8" s="140" t="s">
        <v>111</v>
      </c>
      <c r="H8" s="140" t="s">
        <v>4</v>
      </c>
      <c r="I8" s="140"/>
      <c r="J8" s="140"/>
    </row>
    <row r="9" spans="2:15">
      <c r="B9" s="137" t="s">
        <v>284</v>
      </c>
      <c r="E9" s="141">
        <v>150.44</v>
      </c>
      <c r="F9" s="137">
        <v>84</v>
      </c>
      <c r="G9" s="142">
        <f>E9*F9</f>
        <v>12636.96</v>
      </c>
      <c r="H9" s="137" t="s">
        <v>285</v>
      </c>
      <c r="I9" s="209"/>
    </row>
    <row r="10" spans="2:15">
      <c r="B10" s="137" t="s">
        <v>114</v>
      </c>
      <c r="E10" s="141">
        <v>176.99</v>
      </c>
      <c r="F10" s="137">
        <v>1</v>
      </c>
      <c r="G10" s="142">
        <f t="shared" ref="G10:G11" si="0">E10*F10</f>
        <v>176.99</v>
      </c>
      <c r="H10" s="137" t="s">
        <v>286</v>
      </c>
      <c r="I10" s="209"/>
      <c r="J10" s="137" t="s">
        <v>287</v>
      </c>
    </row>
    <row r="11" spans="2:15">
      <c r="B11" s="137" t="s">
        <v>115</v>
      </c>
      <c r="E11" s="217">
        <v>199.12</v>
      </c>
      <c r="F11" s="143">
        <v>7</v>
      </c>
      <c r="G11" s="144">
        <f t="shared" si="0"/>
        <v>1393.8400000000001</v>
      </c>
      <c r="H11" s="137" t="s">
        <v>288</v>
      </c>
      <c r="I11" s="151"/>
    </row>
    <row r="12" spans="2:15">
      <c r="E12" s="52" t="s">
        <v>289</v>
      </c>
      <c r="F12" s="146">
        <f>SUM(F9:F11)</f>
        <v>92</v>
      </c>
      <c r="G12" s="90">
        <f>SUM(G9:G11)</f>
        <v>14207.789999999999</v>
      </c>
      <c r="H12" s="210"/>
      <c r="I12" s="210"/>
    </row>
    <row r="13" spans="2:15" customFormat="1" ht="15">
      <c r="F13" s="52"/>
      <c r="G13" s="88"/>
    </row>
    <row r="14" spans="2:15" customFormat="1" ht="15">
      <c r="F14" s="58" t="s">
        <v>118</v>
      </c>
      <c r="G14" s="218"/>
      <c r="H14" t="s">
        <v>290</v>
      </c>
    </row>
    <row r="15" spans="2:15" customFormat="1">
      <c r="B15" s="199" t="s">
        <v>291</v>
      </c>
      <c r="C15" s="161" t="s">
        <v>292</v>
      </c>
      <c r="F15">
        <v>22</v>
      </c>
      <c r="G15" s="85">
        <v>3371.46</v>
      </c>
      <c r="H15" s="137" t="s">
        <v>293</v>
      </c>
      <c r="I15" t="s">
        <v>294</v>
      </c>
      <c r="O15" s="117"/>
    </row>
    <row r="16" spans="2:15" customFormat="1">
      <c r="B16" s="199" t="s">
        <v>295</v>
      </c>
      <c r="C16" s="161" t="s">
        <v>292</v>
      </c>
      <c r="F16">
        <v>17</v>
      </c>
      <c r="G16" s="85">
        <v>2500</v>
      </c>
      <c r="I16" t="s">
        <v>296</v>
      </c>
      <c r="O16" s="117"/>
    </row>
    <row r="17" spans="2:15" customFormat="1" ht="15">
      <c r="E17" s="52" t="s">
        <v>289</v>
      </c>
      <c r="F17" s="57">
        <f>SUM(F15:F16)</f>
        <v>39</v>
      </c>
      <c r="G17" s="90">
        <f>SUM(G15:G16)</f>
        <v>5871.46</v>
      </c>
      <c r="H17" t="s">
        <v>297</v>
      </c>
      <c r="I17" t="s">
        <v>298</v>
      </c>
      <c r="O17" s="117"/>
    </row>
    <row r="18" spans="2:15" customFormat="1">
      <c r="E18" s="182"/>
      <c r="F18" s="52"/>
      <c r="G18" s="101"/>
      <c r="I18" t="s">
        <v>299</v>
      </c>
      <c r="O18" s="117"/>
    </row>
    <row r="19" spans="2:15" customFormat="1">
      <c r="E19" s="183" t="s">
        <v>122</v>
      </c>
      <c r="F19" s="219"/>
      <c r="G19" s="220">
        <f>G12+G17</f>
        <v>20079.25</v>
      </c>
      <c r="I19" t="s">
        <v>300</v>
      </c>
      <c r="O19" s="117"/>
    </row>
    <row r="20" spans="2:15" customFormat="1" ht="15">
      <c r="G20" s="80"/>
      <c r="O20" s="117"/>
    </row>
    <row r="21" spans="2:15">
      <c r="B21" s="147" t="s">
        <v>124</v>
      </c>
      <c r="C21" s="147"/>
      <c r="D21" s="147"/>
      <c r="E21" s="148"/>
      <c r="F21" s="148"/>
      <c r="G21" s="140" t="s">
        <v>125</v>
      </c>
      <c r="H21" s="208"/>
      <c r="I21" s="208"/>
    </row>
    <row r="22" spans="2:15">
      <c r="B22" s="149" t="s">
        <v>246</v>
      </c>
      <c r="C22" s="149"/>
      <c r="D22" s="149"/>
      <c r="E22" s="149"/>
      <c r="G22" s="151">
        <v>20000</v>
      </c>
      <c r="H22" s="151"/>
      <c r="I22" s="151"/>
    </row>
    <row r="23" spans="2:15">
      <c r="B23" s="149" t="s">
        <v>247</v>
      </c>
      <c r="C23" s="150" t="s">
        <v>248</v>
      </c>
      <c r="D23" s="149"/>
      <c r="F23" s="150"/>
      <c r="G23" s="151">
        <v>0</v>
      </c>
      <c r="H23" s="151"/>
      <c r="I23" s="151"/>
    </row>
    <row r="24" spans="2:15">
      <c r="B24" s="149" t="s">
        <v>249</v>
      </c>
      <c r="C24" s="150" t="s">
        <v>248</v>
      </c>
      <c r="D24" s="149"/>
      <c r="F24" s="150"/>
      <c r="G24" s="151">
        <v>0</v>
      </c>
      <c r="H24" s="151"/>
      <c r="I24" s="151"/>
    </row>
    <row r="25" spans="2:15">
      <c r="B25" s="149" t="s">
        <v>250</v>
      </c>
      <c r="C25" s="150" t="s">
        <v>248</v>
      </c>
      <c r="D25" s="149"/>
      <c r="F25" s="150"/>
      <c r="G25" s="151">
        <v>0</v>
      </c>
      <c r="H25" s="151"/>
      <c r="I25" s="151"/>
    </row>
    <row r="26" spans="2:15">
      <c r="B26" s="149" t="s">
        <v>301</v>
      </c>
      <c r="C26" s="150" t="s">
        <v>248</v>
      </c>
      <c r="D26" s="149"/>
      <c r="F26" s="150"/>
      <c r="G26" s="151">
        <v>0</v>
      </c>
      <c r="H26" s="151"/>
      <c r="I26" s="151"/>
    </row>
    <row r="27" spans="2:15">
      <c r="B27" s="150"/>
      <c r="C27" s="150"/>
      <c r="D27" s="150"/>
      <c r="E27" s="152" t="s">
        <v>130</v>
      </c>
      <c r="F27" s="153"/>
      <c r="G27" s="154">
        <f>SUM(G22:G22)</f>
        <v>20000</v>
      </c>
      <c r="H27" s="156"/>
      <c r="I27" s="156"/>
    </row>
    <row r="28" spans="2:15">
      <c r="B28" s="150"/>
      <c r="C28" s="150"/>
      <c r="D28" s="150"/>
      <c r="E28" s="150"/>
      <c r="F28" s="155"/>
      <c r="G28" s="156"/>
      <c r="H28" s="156"/>
      <c r="I28" s="156"/>
    </row>
    <row r="29" spans="2:15">
      <c r="B29" s="269" t="s">
        <v>131</v>
      </c>
      <c r="C29" s="269"/>
      <c r="D29" s="269"/>
      <c r="E29" s="269"/>
      <c r="F29" s="269"/>
      <c r="G29" s="269"/>
      <c r="H29" s="207"/>
      <c r="I29" s="207"/>
    </row>
    <row r="30" spans="2:15">
      <c r="B30" s="157" t="s">
        <v>124</v>
      </c>
      <c r="C30" s="157"/>
      <c r="D30" s="157"/>
      <c r="E30" s="158"/>
      <c r="F30" s="158"/>
      <c r="G30" s="159" t="s">
        <v>125</v>
      </c>
      <c r="H30" s="211"/>
      <c r="I30" s="211"/>
    </row>
    <row r="31" spans="2:15">
      <c r="B31" s="160" t="s">
        <v>134</v>
      </c>
      <c r="C31" s="161" t="s">
        <v>292</v>
      </c>
      <c r="D31" s="162"/>
      <c r="E31" s="162"/>
      <c r="F31" s="162"/>
      <c r="G31" s="163">
        <v>500</v>
      </c>
      <c r="H31" s="163"/>
      <c r="I31" s="163"/>
    </row>
    <row r="32" spans="2:15">
      <c r="B32" s="160" t="s">
        <v>302</v>
      </c>
      <c r="C32" s="161" t="s">
        <v>292</v>
      </c>
      <c r="D32" s="150"/>
      <c r="E32" s="150"/>
      <c r="F32" s="155"/>
      <c r="G32" s="156"/>
      <c r="H32" s="164" t="s">
        <v>303</v>
      </c>
      <c r="I32" s="156"/>
    </row>
    <row r="33" spans="2:9">
      <c r="B33" s="160" t="s">
        <v>304</v>
      </c>
      <c r="C33" s="161" t="s">
        <v>292</v>
      </c>
      <c r="D33" s="150"/>
      <c r="E33" s="150"/>
      <c r="F33" s="155"/>
      <c r="G33" s="156"/>
      <c r="H33" s="164" t="s">
        <v>305</v>
      </c>
      <c r="I33" s="156"/>
    </row>
    <row r="34" spans="2:9">
      <c r="B34" s="160" t="s">
        <v>306</v>
      </c>
      <c r="C34" s="161" t="s">
        <v>307</v>
      </c>
      <c r="D34" s="150"/>
      <c r="E34" s="150"/>
      <c r="F34" s="155"/>
      <c r="G34" s="156"/>
      <c r="H34" s="164" t="s">
        <v>308</v>
      </c>
      <c r="I34" s="156"/>
    </row>
    <row r="35" spans="2:9">
      <c r="B35" s="160" t="s">
        <v>309</v>
      </c>
      <c r="C35" s="161" t="s">
        <v>292</v>
      </c>
      <c r="D35" s="150"/>
      <c r="E35" s="150"/>
      <c r="F35" s="155"/>
      <c r="G35" s="156"/>
      <c r="H35" s="137" t="s">
        <v>310</v>
      </c>
      <c r="I35" s="156"/>
    </row>
    <row r="36" spans="2:9">
      <c r="B36" s="160" t="s">
        <v>311</v>
      </c>
      <c r="C36" s="161" t="s">
        <v>292</v>
      </c>
      <c r="D36" s="150"/>
      <c r="E36" s="150"/>
      <c r="F36" s="155"/>
      <c r="G36" s="167">
        <v>500</v>
      </c>
      <c r="H36" s="167"/>
      <c r="I36" s="167"/>
    </row>
    <row r="37" spans="2:9">
      <c r="B37" s="160" t="s">
        <v>137</v>
      </c>
      <c r="C37" s="161" t="s">
        <v>307</v>
      </c>
      <c r="D37" s="150"/>
      <c r="E37" s="150"/>
      <c r="F37" s="155"/>
      <c r="G37" s="167">
        <v>1000</v>
      </c>
      <c r="H37" s="167"/>
      <c r="I37" s="167"/>
    </row>
    <row r="38" spans="2:9">
      <c r="B38" t="s">
        <v>136</v>
      </c>
      <c r="C38" s="161" t="s">
        <v>312</v>
      </c>
      <c r="D38" s="150"/>
      <c r="E38" s="150"/>
      <c r="F38" s="155"/>
      <c r="H38" s="137" t="s">
        <v>313</v>
      </c>
      <c r="I38" s="167"/>
    </row>
    <row r="39" spans="2:9">
      <c r="B39" t="s">
        <v>314</v>
      </c>
      <c r="C39" s="161" t="s">
        <v>307</v>
      </c>
      <c r="D39" s="150"/>
      <c r="E39" s="150"/>
      <c r="F39" s="155"/>
      <c r="G39" s="167">
        <v>250</v>
      </c>
      <c r="H39" s="167"/>
      <c r="I39" s="167"/>
    </row>
    <row r="40" spans="2:9">
      <c r="B40" t="s">
        <v>315</v>
      </c>
      <c r="C40" s="161" t="s">
        <v>292</v>
      </c>
      <c r="D40" s="150"/>
      <c r="E40" s="150"/>
      <c r="F40" s="155"/>
      <c r="G40" s="167">
        <v>250</v>
      </c>
      <c r="H40" s="167"/>
      <c r="I40" s="167"/>
    </row>
    <row r="41" spans="2:9">
      <c r="B41" t="s">
        <v>316</v>
      </c>
      <c r="C41" s="161" t="s">
        <v>292</v>
      </c>
      <c r="D41" s="150"/>
      <c r="E41" s="150"/>
      <c r="F41" s="155"/>
      <c r="G41" s="167">
        <v>500</v>
      </c>
      <c r="H41" s="167"/>
      <c r="I41" s="167"/>
    </row>
    <row r="42" spans="2:9">
      <c r="B42" s="149" t="s">
        <v>28</v>
      </c>
      <c r="C42" s="161" t="s">
        <v>307</v>
      </c>
      <c r="D42" s="150"/>
      <c r="E42" s="150"/>
      <c r="F42" s="155"/>
      <c r="G42" s="167">
        <v>300</v>
      </c>
      <c r="H42" s="167"/>
      <c r="I42" s="167"/>
    </row>
    <row r="43" spans="2:9">
      <c r="B43" s="150"/>
      <c r="C43" s="150"/>
      <c r="D43" s="150"/>
      <c r="E43" s="152" t="s">
        <v>317</v>
      </c>
      <c r="F43" s="153"/>
      <c r="G43" s="154">
        <f>SUM(G31:G42)</f>
        <v>3300</v>
      </c>
      <c r="H43" s="156"/>
      <c r="I43" s="156"/>
    </row>
    <row r="44" spans="2:9">
      <c r="B44" s="150"/>
      <c r="C44" s="150"/>
      <c r="D44" s="150"/>
      <c r="E44" s="150"/>
      <c r="F44" s="155"/>
      <c r="G44" s="156"/>
      <c r="H44" s="156"/>
      <c r="I44" s="156"/>
    </row>
    <row r="45" spans="2:9">
      <c r="B45" s="269" t="s">
        <v>139</v>
      </c>
      <c r="C45" s="269"/>
      <c r="D45" s="269"/>
      <c r="E45" s="269"/>
      <c r="F45" s="269"/>
      <c r="G45" s="269"/>
      <c r="H45" s="207"/>
      <c r="I45" s="207"/>
    </row>
    <row r="46" spans="2:9">
      <c r="B46" s="157" t="s">
        <v>124</v>
      </c>
      <c r="C46" s="157"/>
      <c r="D46" s="157"/>
      <c r="E46" s="158"/>
      <c r="F46" s="158"/>
      <c r="G46" s="159" t="s">
        <v>125</v>
      </c>
      <c r="H46" s="211"/>
      <c r="I46" s="211"/>
    </row>
    <row r="47" spans="2:9">
      <c r="B47" s="232" t="s">
        <v>251</v>
      </c>
      <c r="C47" s="161" t="s">
        <v>292</v>
      </c>
      <c r="D47" s="162"/>
      <c r="E47" s="162"/>
      <c r="F47" s="162"/>
      <c r="G47" s="163">
        <v>12240.88</v>
      </c>
      <c r="H47" s="163"/>
      <c r="I47" s="163"/>
    </row>
    <row r="48" spans="2:9">
      <c r="B48" s="162"/>
      <c r="C48" s="162"/>
      <c r="D48" s="162"/>
      <c r="E48" s="162"/>
      <c r="F48" s="162"/>
      <c r="G48" s="165"/>
      <c r="H48" s="165"/>
      <c r="I48" s="165"/>
    </row>
    <row r="49" spans="2:10" ht="18.75">
      <c r="B49" s="166"/>
      <c r="C49" s="166"/>
      <c r="D49" s="166"/>
      <c r="E49" s="166"/>
      <c r="F49" s="135" t="s">
        <v>141</v>
      </c>
      <c r="G49" s="202">
        <f>G19+G27+G47+G43</f>
        <v>55620.13</v>
      </c>
      <c r="H49" s="212"/>
      <c r="I49" s="212"/>
    </row>
    <row r="50" spans="2:10">
      <c r="B50" s="162"/>
      <c r="C50" s="162"/>
      <c r="D50" s="162"/>
      <c r="E50" s="162"/>
      <c r="F50" s="162"/>
      <c r="G50" s="165"/>
      <c r="H50" s="165"/>
      <c r="I50" s="165"/>
    </row>
    <row r="51" spans="2:10">
      <c r="B51" s="150"/>
      <c r="C51" s="150"/>
      <c r="D51" s="150"/>
      <c r="E51" s="150"/>
      <c r="F51" s="150"/>
      <c r="G51" s="167"/>
      <c r="H51" s="167"/>
      <c r="I51" s="167"/>
    </row>
    <row r="52" spans="2:10">
      <c r="B52" s="276" t="s">
        <v>142</v>
      </c>
      <c r="C52" s="276"/>
      <c r="D52" s="276"/>
      <c r="E52" s="276"/>
      <c r="F52" s="276"/>
      <c r="G52" s="276"/>
      <c r="H52" s="276"/>
      <c r="I52" s="276"/>
      <c r="J52" s="276"/>
    </row>
    <row r="53" spans="2:10">
      <c r="B53" s="269" t="s">
        <v>143</v>
      </c>
      <c r="C53" s="269"/>
      <c r="D53" s="269"/>
      <c r="E53" s="269"/>
      <c r="F53" s="269"/>
      <c r="G53" s="269"/>
      <c r="H53" s="269"/>
      <c r="I53" s="269"/>
      <c r="J53" s="269"/>
    </row>
    <row r="54" spans="2:10">
      <c r="B54" s="168" t="s">
        <v>145</v>
      </c>
      <c r="C54" s="168" t="s">
        <v>146</v>
      </c>
      <c r="D54" s="168" t="s">
        <v>253</v>
      </c>
      <c r="E54" s="168" t="s">
        <v>147</v>
      </c>
      <c r="F54" s="168" t="s">
        <v>110</v>
      </c>
      <c r="G54" s="169" t="s">
        <v>148</v>
      </c>
      <c r="H54" s="221" t="s">
        <v>4</v>
      </c>
      <c r="I54" s="222" t="s">
        <v>318</v>
      </c>
      <c r="J54" s="222" t="s">
        <v>319</v>
      </c>
    </row>
    <row r="55" spans="2:10">
      <c r="B55" s="270" t="s">
        <v>41</v>
      </c>
      <c r="C55" s="270"/>
      <c r="D55" s="270"/>
      <c r="E55" s="270"/>
      <c r="F55" s="270"/>
      <c r="G55" s="270"/>
      <c r="H55" s="216"/>
      <c r="I55" s="216"/>
      <c r="J55" s="223"/>
    </row>
    <row r="56" spans="2:10">
      <c r="C56" s="137" t="s">
        <v>320</v>
      </c>
      <c r="E56" s="170">
        <v>21.646999999999998</v>
      </c>
      <c r="F56" s="137">
        <v>9</v>
      </c>
      <c r="G56" s="138">
        <f>E56*F56</f>
        <v>194.82299999999998</v>
      </c>
      <c r="H56" s="138"/>
      <c r="I56" s="138" t="s">
        <v>321</v>
      </c>
      <c r="J56" s="137" t="s">
        <v>322</v>
      </c>
    </row>
    <row r="57" spans="2:10">
      <c r="C57" s="137" t="s">
        <v>323</v>
      </c>
      <c r="E57" s="170">
        <v>4.22</v>
      </c>
      <c r="F57" s="137">
        <v>220</v>
      </c>
      <c r="G57" s="138">
        <f t="shared" ref="G57:G58" si="1">E57*F57</f>
        <v>928.4</v>
      </c>
      <c r="H57" s="138"/>
      <c r="I57" s="138" t="s">
        <v>324</v>
      </c>
      <c r="J57" s="228" t="s">
        <v>325</v>
      </c>
    </row>
    <row r="58" spans="2:10">
      <c r="G58" s="138">
        <f t="shared" si="1"/>
        <v>0</v>
      </c>
      <c r="H58" s="138"/>
      <c r="I58" s="138"/>
    </row>
    <row r="59" spans="2:10">
      <c r="F59" s="145" t="s">
        <v>116</v>
      </c>
      <c r="G59" s="171">
        <f>SUM(G56:G58)</f>
        <v>1123.223</v>
      </c>
      <c r="H59" s="201"/>
      <c r="I59" s="201"/>
    </row>
    <row r="60" spans="2:10">
      <c r="B60" s="268" t="s">
        <v>157</v>
      </c>
      <c r="C60" s="268"/>
      <c r="D60" s="268"/>
      <c r="E60" s="268"/>
      <c r="F60" s="268"/>
      <c r="G60" s="268"/>
      <c r="H60" s="172"/>
      <c r="I60" s="172"/>
    </row>
    <row r="61" spans="2:10">
      <c r="B61" s="172" t="s">
        <v>57</v>
      </c>
      <c r="C61" s="172"/>
      <c r="D61" s="172"/>
      <c r="E61" s="172"/>
      <c r="F61" s="172"/>
      <c r="G61" s="173"/>
      <c r="H61" s="137" t="s">
        <v>326</v>
      </c>
      <c r="I61" s="173"/>
    </row>
    <row r="62" spans="2:10">
      <c r="B62" s="149"/>
      <c r="C62" s="149" t="s">
        <v>256</v>
      </c>
      <c r="D62" s="149"/>
      <c r="E62" s="174"/>
      <c r="F62" s="175"/>
      <c r="G62" s="173">
        <f>G63+G65+G64</f>
        <v>759.75</v>
      </c>
      <c r="H62" s="225" t="s">
        <v>327</v>
      </c>
      <c r="I62" s="173"/>
    </row>
    <row r="63" spans="2:10">
      <c r="B63" s="149"/>
      <c r="C63" s="149"/>
      <c r="D63" s="149" t="s">
        <v>328</v>
      </c>
      <c r="E63" s="174">
        <v>2.5</v>
      </c>
      <c r="F63" s="175">
        <v>150</v>
      </c>
      <c r="G63" s="176">
        <f>E63*F63*0.95</f>
        <v>356.25</v>
      </c>
      <c r="H63" s="176"/>
      <c r="I63" s="176"/>
    </row>
    <row r="64" spans="2:10">
      <c r="B64" s="149"/>
      <c r="C64" s="149"/>
      <c r="D64" s="149" t="s">
        <v>329</v>
      </c>
      <c r="E64" s="174">
        <v>0.9</v>
      </c>
      <c r="F64" s="175">
        <v>150</v>
      </c>
      <c r="G64" s="176">
        <f>E64*F64/2</f>
        <v>67.5</v>
      </c>
      <c r="H64" s="176" t="s">
        <v>330</v>
      </c>
      <c r="I64" s="176"/>
    </row>
    <row r="65" spans="2:16">
      <c r="B65" s="149"/>
      <c r="C65" s="149"/>
      <c r="D65" s="149" t="s">
        <v>331</v>
      </c>
      <c r="E65" s="177">
        <v>2.2400000000000002</v>
      </c>
      <c r="F65" s="175">
        <v>150</v>
      </c>
      <c r="G65" s="176">
        <f>E65*F65</f>
        <v>336.00000000000006</v>
      </c>
      <c r="H65" s="176" t="s">
        <v>332</v>
      </c>
      <c r="I65" s="176"/>
    </row>
    <row r="66" spans="2:16">
      <c r="B66" s="149"/>
      <c r="C66" s="149" t="s">
        <v>165</v>
      </c>
      <c r="D66" s="149"/>
      <c r="E66" s="174"/>
      <c r="F66" s="175"/>
      <c r="G66" s="173">
        <f>G67+G68</f>
        <v>3739.4459999999995</v>
      </c>
      <c r="H66" s="176"/>
      <c r="I66" s="176"/>
      <c r="L66" s="137" t="s">
        <v>333</v>
      </c>
    </row>
    <row r="67" spans="2:16">
      <c r="B67" s="149"/>
      <c r="D67" s="149" t="s">
        <v>334</v>
      </c>
      <c r="E67" s="177">
        <v>19.620899999999999</v>
      </c>
      <c r="F67" s="175">
        <v>150</v>
      </c>
      <c r="G67" s="176">
        <f>E67*F67</f>
        <v>2943.1349999999998</v>
      </c>
      <c r="H67" s="176"/>
      <c r="I67" s="173"/>
      <c r="L67" s="137" t="s">
        <v>335</v>
      </c>
      <c r="M67" s="137">
        <v>84.99</v>
      </c>
      <c r="N67" s="137">
        <v>70</v>
      </c>
      <c r="O67" s="137">
        <v>7</v>
      </c>
      <c r="P67" s="137">
        <f>O67*M67*1.13</f>
        <v>672.27089999999987</v>
      </c>
    </row>
    <row r="68" spans="2:16">
      <c r="B68" s="149"/>
      <c r="D68" s="149" t="s">
        <v>336</v>
      </c>
      <c r="E68" s="177">
        <v>4.3499999999999996</v>
      </c>
      <c r="F68" s="175">
        <v>162</v>
      </c>
      <c r="G68" s="224">
        <f>E68*F68*1.13</f>
        <v>796.31099999999981</v>
      </c>
      <c r="H68" s="176"/>
      <c r="I68" s="173"/>
      <c r="L68" s="137" t="s">
        <v>337</v>
      </c>
      <c r="M68" s="137">
        <v>84.99</v>
      </c>
      <c r="N68" s="137">
        <v>70</v>
      </c>
      <c r="O68" s="137">
        <v>7</v>
      </c>
      <c r="P68" s="137">
        <f t="shared" ref="P68:P69" si="2">O68*M68*1.13</f>
        <v>672.27089999999987</v>
      </c>
    </row>
    <row r="69" spans="2:16">
      <c r="B69" s="149"/>
      <c r="C69" s="149"/>
      <c r="D69" s="149"/>
      <c r="E69" s="177"/>
      <c r="F69" s="178" t="s">
        <v>338</v>
      </c>
      <c r="G69" s="205">
        <f>G62+G66</f>
        <v>4499.1959999999999</v>
      </c>
      <c r="H69" s="214"/>
      <c r="I69" s="214"/>
      <c r="L69" s="137" t="s">
        <v>339</v>
      </c>
      <c r="M69" s="137">
        <v>89.99</v>
      </c>
      <c r="N69" s="137">
        <v>10</v>
      </c>
      <c r="O69" s="137">
        <v>1</v>
      </c>
      <c r="P69" s="137">
        <f t="shared" si="2"/>
        <v>101.68869999999998</v>
      </c>
    </row>
    <row r="70" spans="2:16">
      <c r="B70" s="172" t="s">
        <v>72</v>
      </c>
      <c r="C70" s="149"/>
      <c r="D70" s="149"/>
      <c r="E70" s="177"/>
      <c r="F70" s="149"/>
      <c r="G70" s="176"/>
      <c r="H70" s="176"/>
      <c r="I70" s="176"/>
      <c r="L70" s="137" t="s">
        <v>340</v>
      </c>
      <c r="M70" s="137">
        <v>55.99</v>
      </c>
      <c r="N70" s="137">
        <v>720</v>
      </c>
      <c r="O70" s="137">
        <v>15</v>
      </c>
      <c r="P70" s="137">
        <f>O70*M70*1.13</f>
        <v>949.03049999999996</v>
      </c>
    </row>
    <row r="71" spans="2:16">
      <c r="B71" s="172"/>
      <c r="C71" s="149" t="s">
        <v>166</v>
      </c>
      <c r="D71" s="149"/>
      <c r="E71" s="177"/>
      <c r="F71" s="175"/>
      <c r="G71" s="173">
        <f>G72+G74+G75+G73</f>
        <v>2196.75</v>
      </c>
      <c r="H71" s="225" t="s">
        <v>327</v>
      </c>
      <c r="I71" s="173"/>
      <c r="L71" s="137" t="s">
        <v>341</v>
      </c>
      <c r="M71" s="137">
        <v>29.99</v>
      </c>
      <c r="N71" s="137">
        <v>150</v>
      </c>
      <c r="O71" s="137">
        <v>15</v>
      </c>
      <c r="P71" s="137">
        <f>O71*M71*1.13</f>
        <v>508.33049999999992</v>
      </c>
    </row>
    <row r="72" spans="2:16">
      <c r="B72" s="172"/>
      <c r="C72" s="149"/>
      <c r="D72" s="149" t="s">
        <v>342</v>
      </c>
      <c r="E72" s="174">
        <v>2.5</v>
      </c>
      <c r="F72" s="175">
        <v>150</v>
      </c>
      <c r="G72" s="176">
        <f>F72*E72*0.95</f>
        <v>356.25</v>
      </c>
      <c r="H72" s="176"/>
      <c r="I72" s="176"/>
      <c r="L72" s="137" t="s">
        <v>343</v>
      </c>
      <c r="M72" s="229">
        <v>35</v>
      </c>
      <c r="N72" s="137">
        <v>1</v>
      </c>
      <c r="O72" s="137">
        <v>1</v>
      </c>
      <c r="P72" s="229">
        <f>M72*1.13</f>
        <v>39.549999999999997</v>
      </c>
    </row>
    <row r="73" spans="2:16">
      <c r="B73" s="172"/>
      <c r="C73" s="149"/>
      <c r="D73" s="149" t="s">
        <v>329</v>
      </c>
      <c r="E73" s="174">
        <v>0.9</v>
      </c>
      <c r="F73" s="175">
        <v>150</v>
      </c>
      <c r="G73" s="176">
        <f>E73*F73</f>
        <v>135</v>
      </c>
      <c r="H73" s="176"/>
      <c r="I73" s="176"/>
      <c r="O73" s="137" t="s">
        <v>21</v>
      </c>
      <c r="P73" s="137">
        <f>SUM(P67:P72)</f>
        <v>2943.1414999999997</v>
      </c>
    </row>
    <row r="74" spans="2:16">
      <c r="B74" s="172"/>
      <c r="C74" s="149"/>
      <c r="D74" s="149" t="s">
        <v>344</v>
      </c>
      <c r="E74" s="177">
        <v>8.52</v>
      </c>
      <c r="F74" s="175">
        <v>150</v>
      </c>
      <c r="G74" s="176">
        <f>F74*E74</f>
        <v>1278</v>
      </c>
      <c r="H74" s="176"/>
      <c r="I74" s="176"/>
    </row>
    <row r="75" spans="2:16">
      <c r="B75" s="172"/>
      <c r="C75" s="149"/>
      <c r="D75" s="149" t="s">
        <v>345</v>
      </c>
      <c r="E75" s="177">
        <v>3</v>
      </c>
      <c r="F75" s="175">
        <v>150</v>
      </c>
      <c r="G75" s="176">
        <f>E75*F75*0.95</f>
        <v>427.5</v>
      </c>
      <c r="H75" s="176"/>
      <c r="I75" s="176"/>
    </row>
    <row r="76" spans="2:16">
      <c r="B76" s="172"/>
      <c r="C76" s="149" t="s">
        <v>257</v>
      </c>
      <c r="D76" s="149"/>
      <c r="E76" s="177"/>
      <c r="F76" s="175"/>
      <c r="G76" s="173">
        <f>G77+G79+G78</f>
        <v>827.25</v>
      </c>
      <c r="H76" s="173"/>
      <c r="I76" s="173"/>
    </row>
    <row r="77" spans="2:16">
      <c r="B77" s="172"/>
      <c r="C77" s="149"/>
      <c r="D77" s="149" t="s">
        <v>342</v>
      </c>
      <c r="E77" s="174">
        <v>2.5</v>
      </c>
      <c r="F77" s="175">
        <v>150</v>
      </c>
      <c r="G77" s="176">
        <f>E77*F77*0.95</f>
        <v>356.25</v>
      </c>
      <c r="H77" s="176"/>
      <c r="I77" s="176"/>
    </row>
    <row r="78" spans="2:16">
      <c r="B78" s="172"/>
      <c r="C78" s="149"/>
      <c r="D78" s="149" t="s">
        <v>329</v>
      </c>
      <c r="E78" s="174">
        <v>0.9</v>
      </c>
      <c r="F78" s="175">
        <v>150</v>
      </c>
      <c r="G78" s="176">
        <f>E78*F78</f>
        <v>135</v>
      </c>
      <c r="H78" s="176" t="s">
        <v>332</v>
      </c>
      <c r="I78" s="176"/>
    </row>
    <row r="79" spans="2:16">
      <c r="B79" s="172"/>
      <c r="C79" s="149"/>
      <c r="D79" s="149" t="s">
        <v>331</v>
      </c>
      <c r="E79" s="177">
        <v>2.2400000000000002</v>
      </c>
      <c r="F79" s="175">
        <v>150</v>
      </c>
      <c r="G79" s="176">
        <f>E79*F79</f>
        <v>336.00000000000006</v>
      </c>
      <c r="H79" s="176"/>
      <c r="I79" s="176"/>
    </row>
    <row r="80" spans="2:16">
      <c r="B80" s="172"/>
      <c r="C80" s="149" t="s">
        <v>170</v>
      </c>
      <c r="D80" s="149"/>
      <c r="E80" s="177"/>
      <c r="F80" s="175"/>
      <c r="G80" s="201">
        <f>G81+G82</f>
        <v>3581.25</v>
      </c>
    </row>
    <row r="81" spans="2:11">
      <c r="B81" s="172"/>
      <c r="C81" s="149"/>
      <c r="D81" s="149" t="s">
        <v>346</v>
      </c>
      <c r="E81" s="177">
        <v>22.5</v>
      </c>
      <c r="F81" s="175">
        <v>150</v>
      </c>
      <c r="G81" s="176">
        <f>E81*F81*0.95</f>
        <v>3206.25</v>
      </c>
    </row>
    <row r="82" spans="2:11">
      <c r="B82" s="149"/>
      <c r="D82" s="137" t="s">
        <v>347</v>
      </c>
      <c r="E82" s="170">
        <v>2.5</v>
      </c>
      <c r="F82" s="137">
        <v>150</v>
      </c>
      <c r="G82" s="170">
        <f>E82*F82</f>
        <v>375</v>
      </c>
      <c r="H82" s="173"/>
      <c r="I82" s="173"/>
    </row>
    <row r="83" spans="2:11">
      <c r="B83" s="149"/>
      <c r="C83" s="149" t="s">
        <v>256</v>
      </c>
      <c r="D83" s="149"/>
      <c r="E83" s="177"/>
      <c r="F83" s="175"/>
      <c r="G83" s="173">
        <f>G84+G86+G85</f>
        <v>827.25</v>
      </c>
      <c r="H83" s="173"/>
      <c r="I83" s="173"/>
    </row>
    <row r="84" spans="2:11">
      <c r="B84" s="149"/>
      <c r="C84" s="149"/>
      <c r="D84" s="149" t="s">
        <v>342</v>
      </c>
      <c r="E84" s="174">
        <v>2.5</v>
      </c>
      <c r="F84" s="175">
        <v>150</v>
      </c>
      <c r="G84" s="176">
        <f>F84*E84*0.95</f>
        <v>356.25</v>
      </c>
      <c r="H84" s="176"/>
      <c r="I84" s="176"/>
    </row>
    <row r="85" spans="2:11">
      <c r="B85" s="149"/>
      <c r="C85" s="149"/>
      <c r="D85" s="149" t="s">
        <v>329</v>
      </c>
      <c r="E85" s="174">
        <v>0.9</v>
      </c>
      <c r="F85" s="175">
        <v>150</v>
      </c>
      <c r="G85" s="176">
        <f>E85*F85</f>
        <v>135</v>
      </c>
      <c r="H85" s="176"/>
      <c r="I85" s="176"/>
      <c r="K85" s="137" t="s">
        <v>348</v>
      </c>
    </row>
    <row r="86" spans="2:11">
      <c r="B86" s="149"/>
      <c r="C86" s="149"/>
      <c r="D86" s="149" t="s">
        <v>331</v>
      </c>
      <c r="E86" s="177">
        <v>2.2400000000000002</v>
      </c>
      <c r="F86" s="175">
        <v>150</v>
      </c>
      <c r="G86" s="176">
        <f>E86*F86</f>
        <v>336.00000000000006</v>
      </c>
      <c r="H86" s="176"/>
      <c r="I86" s="176"/>
      <c r="K86" s="138">
        <f>SUM(G65,G74,G79,G86,G94,G106,G99)</f>
        <v>4236</v>
      </c>
    </row>
    <row r="87" spans="2:11">
      <c r="B87" s="149"/>
      <c r="C87" s="149" t="s">
        <v>171</v>
      </c>
      <c r="D87" s="149"/>
      <c r="E87" s="177"/>
      <c r="F87" s="175"/>
      <c r="G87" s="176"/>
      <c r="H87" s="176"/>
      <c r="I87" s="176"/>
      <c r="K87" s="137" t="s">
        <v>349</v>
      </c>
    </row>
    <row r="88" spans="2:11">
      <c r="B88" s="149"/>
      <c r="D88" s="149" t="s">
        <v>350</v>
      </c>
      <c r="E88" s="177">
        <v>25</v>
      </c>
      <c r="F88" s="175">
        <v>150</v>
      </c>
      <c r="G88" s="173">
        <f>E88*F88</f>
        <v>3750</v>
      </c>
      <c r="H88" s="176"/>
      <c r="I88" s="173"/>
      <c r="K88" s="137" t="s">
        <v>351</v>
      </c>
    </row>
    <row r="89" spans="2:11">
      <c r="B89" s="149"/>
      <c r="C89" s="149"/>
      <c r="D89" s="149"/>
      <c r="E89" s="177"/>
      <c r="F89" s="178" t="s">
        <v>352</v>
      </c>
      <c r="G89" s="179">
        <f>G71+G76+G80+G83+G88</f>
        <v>11182.5</v>
      </c>
      <c r="H89" s="214"/>
      <c r="I89" s="214"/>
      <c r="K89" s="137" t="s">
        <v>353</v>
      </c>
    </row>
    <row r="90" spans="2:11">
      <c r="B90" s="172" t="s">
        <v>85</v>
      </c>
      <c r="C90" s="149"/>
      <c r="D90" s="149"/>
      <c r="E90" s="177"/>
      <c r="F90" s="149"/>
      <c r="G90" s="176"/>
      <c r="H90" s="176"/>
      <c r="I90" s="176"/>
    </row>
    <row r="91" spans="2:11">
      <c r="B91" s="172"/>
      <c r="C91" s="149" t="s">
        <v>172</v>
      </c>
      <c r="D91" s="149"/>
      <c r="E91" s="177"/>
      <c r="F91" s="175"/>
      <c r="G91" s="173">
        <f>G92+G94+G95+G93</f>
        <v>2238</v>
      </c>
      <c r="H91" s="173"/>
      <c r="I91" s="173"/>
    </row>
    <row r="92" spans="2:11">
      <c r="B92" s="172"/>
      <c r="C92" s="149"/>
      <c r="D92" s="149" t="s">
        <v>342</v>
      </c>
      <c r="E92" s="174">
        <v>2.5</v>
      </c>
      <c r="F92" s="175">
        <v>150</v>
      </c>
      <c r="G92" s="176">
        <f>E92*F92</f>
        <v>375</v>
      </c>
      <c r="H92" s="176"/>
      <c r="I92" s="176"/>
    </row>
    <row r="93" spans="2:11">
      <c r="B93" s="172"/>
      <c r="C93" s="149"/>
      <c r="D93" s="149" t="s">
        <v>329</v>
      </c>
      <c r="E93" s="174">
        <v>0.9</v>
      </c>
      <c r="F93" s="175">
        <v>150</v>
      </c>
      <c r="G93" s="176">
        <f>E93*F93</f>
        <v>135</v>
      </c>
      <c r="H93" s="176"/>
      <c r="I93" s="176"/>
    </row>
    <row r="94" spans="2:11">
      <c r="B94" s="172"/>
      <c r="C94" s="149"/>
      <c r="D94" s="149" t="s">
        <v>344</v>
      </c>
      <c r="E94" s="177">
        <v>8.52</v>
      </c>
      <c r="F94" s="175">
        <v>150</v>
      </c>
      <c r="G94" s="176">
        <f>E94*F94</f>
        <v>1278</v>
      </c>
      <c r="H94" s="176"/>
      <c r="I94" s="176"/>
    </row>
    <row r="95" spans="2:11">
      <c r="B95" s="172"/>
      <c r="C95" s="149"/>
      <c r="D95" s="149" t="s">
        <v>345</v>
      </c>
      <c r="E95" s="177">
        <v>3</v>
      </c>
      <c r="F95" s="175">
        <v>150</v>
      </c>
      <c r="G95" s="176">
        <f>E95*F95</f>
        <v>450</v>
      </c>
      <c r="H95" s="176"/>
      <c r="I95" s="176"/>
    </row>
    <row r="96" spans="2:11">
      <c r="B96" s="172"/>
      <c r="C96" s="149" t="s">
        <v>257</v>
      </c>
      <c r="D96" s="149"/>
      <c r="E96" s="177"/>
      <c r="F96" s="175"/>
      <c r="G96" s="173">
        <f>G97+G99+G98</f>
        <v>846</v>
      </c>
      <c r="H96" s="173"/>
      <c r="I96" s="173"/>
    </row>
    <row r="97" spans="2:9">
      <c r="B97" s="172"/>
      <c r="C97" s="149"/>
      <c r="D97" s="149" t="s">
        <v>342</v>
      </c>
      <c r="E97" s="174">
        <v>2.5</v>
      </c>
      <c r="F97" s="175">
        <v>150</v>
      </c>
      <c r="G97" s="176">
        <f t="shared" ref="G97:G99" si="3">E97*F97</f>
        <v>375</v>
      </c>
      <c r="H97" s="176"/>
      <c r="I97" s="176"/>
    </row>
    <row r="98" spans="2:9">
      <c r="B98" s="172"/>
      <c r="C98" s="149"/>
      <c r="D98" s="149" t="s">
        <v>329</v>
      </c>
      <c r="E98" s="174">
        <v>0.9</v>
      </c>
      <c r="F98" s="175">
        <v>150</v>
      </c>
      <c r="G98" s="176">
        <f>E98*F98</f>
        <v>135</v>
      </c>
      <c r="H98" s="176"/>
      <c r="I98" s="176"/>
    </row>
    <row r="99" spans="2:9">
      <c r="B99" s="172"/>
      <c r="C99" s="149"/>
      <c r="D99" s="149" t="s">
        <v>344</v>
      </c>
      <c r="E99" s="177">
        <v>2.2400000000000002</v>
      </c>
      <c r="F99" s="175">
        <v>150</v>
      </c>
      <c r="G99" s="176">
        <f t="shared" si="3"/>
        <v>336.00000000000006</v>
      </c>
      <c r="H99" s="176"/>
      <c r="I99" s="176"/>
    </row>
    <row r="100" spans="2:9">
      <c r="B100" s="172"/>
      <c r="C100" s="149" t="s">
        <v>173</v>
      </c>
      <c r="D100" s="149"/>
      <c r="E100" s="177"/>
      <c r="F100" s="175"/>
      <c r="G100" s="173">
        <f>SUM(G101:G102)</f>
        <v>3750</v>
      </c>
      <c r="H100" s="176"/>
      <c r="I100" s="176"/>
    </row>
    <row r="101" spans="2:9">
      <c r="B101" s="172"/>
      <c r="C101" s="149"/>
      <c r="D101" s="149" t="s">
        <v>346</v>
      </c>
      <c r="E101" s="177">
        <v>22.5</v>
      </c>
      <c r="F101" s="175">
        <v>150</v>
      </c>
      <c r="G101" s="176">
        <f>E101*F101</f>
        <v>3375</v>
      </c>
      <c r="H101" s="176"/>
      <c r="I101" s="176"/>
    </row>
    <row r="102" spans="2:9">
      <c r="B102" s="149"/>
      <c r="D102" s="137" t="s">
        <v>347</v>
      </c>
      <c r="E102" s="170">
        <v>2.5</v>
      </c>
      <c r="F102" s="137">
        <v>150</v>
      </c>
      <c r="G102" s="170">
        <f>E102*F102</f>
        <v>375</v>
      </c>
      <c r="H102" s="173"/>
      <c r="I102" s="173"/>
    </row>
    <row r="103" spans="2:9">
      <c r="B103" s="149"/>
      <c r="C103" s="149" t="s">
        <v>256</v>
      </c>
      <c r="D103" s="149"/>
      <c r="E103" s="177"/>
      <c r="F103" s="175"/>
      <c r="G103" s="173">
        <f>G106+G105+G104</f>
        <v>846</v>
      </c>
      <c r="H103" s="173"/>
      <c r="I103" s="173"/>
    </row>
    <row r="104" spans="2:9">
      <c r="B104" s="149"/>
      <c r="C104" s="149"/>
      <c r="D104" s="149" t="s">
        <v>354</v>
      </c>
      <c r="E104" s="174">
        <v>2.5</v>
      </c>
      <c r="F104" s="175">
        <v>150</v>
      </c>
      <c r="G104" s="176">
        <f t="shared" ref="G104:G106" si="4">E104*F104</f>
        <v>375</v>
      </c>
      <c r="H104" s="176"/>
      <c r="I104" s="176"/>
    </row>
    <row r="105" spans="2:9">
      <c r="B105" s="149"/>
      <c r="C105" s="149"/>
      <c r="D105" s="149" t="s">
        <v>329</v>
      </c>
      <c r="E105" s="174">
        <v>0.9</v>
      </c>
      <c r="F105" s="175">
        <v>150</v>
      </c>
      <c r="G105" s="176">
        <f>E105*F105</f>
        <v>135</v>
      </c>
      <c r="H105" s="176"/>
      <c r="I105" s="176"/>
    </row>
    <row r="106" spans="2:9">
      <c r="B106" s="149"/>
      <c r="C106" s="149"/>
      <c r="D106" s="149" t="s">
        <v>344</v>
      </c>
      <c r="E106" s="177">
        <v>2.2400000000000002</v>
      </c>
      <c r="F106" s="175">
        <v>150</v>
      </c>
      <c r="G106" s="176">
        <f t="shared" si="4"/>
        <v>336.00000000000006</v>
      </c>
      <c r="H106" s="176"/>
      <c r="I106" s="176"/>
    </row>
    <row r="107" spans="2:9">
      <c r="B107" s="149"/>
      <c r="C107" s="149" t="s">
        <v>258</v>
      </c>
      <c r="D107" s="149"/>
      <c r="E107" s="177"/>
      <c r="F107" s="175"/>
      <c r="G107" s="173">
        <f>G108</f>
        <v>3051</v>
      </c>
      <c r="H107" s="176"/>
      <c r="I107" s="176"/>
    </row>
    <row r="108" spans="2:9">
      <c r="B108" s="149"/>
      <c r="D108" s="149" t="s">
        <v>355</v>
      </c>
      <c r="E108" s="174">
        <v>20.34</v>
      </c>
      <c r="F108" s="175">
        <v>150</v>
      </c>
      <c r="G108" s="176">
        <f>E108*F108</f>
        <v>3051</v>
      </c>
      <c r="H108" s="173"/>
      <c r="I108" s="173"/>
    </row>
    <row r="109" spans="2:9">
      <c r="B109" s="149"/>
      <c r="C109" s="149"/>
      <c r="D109" s="149"/>
      <c r="E109" s="174"/>
      <c r="F109" s="178" t="s">
        <v>356</v>
      </c>
      <c r="G109" s="230">
        <f>G91+G96+G100+G103+G107</f>
        <v>10731</v>
      </c>
      <c r="H109" s="214"/>
      <c r="I109" s="214"/>
    </row>
    <row r="110" spans="2:9">
      <c r="B110" s="149"/>
      <c r="C110" s="149"/>
      <c r="D110" s="149"/>
      <c r="E110" s="174"/>
      <c r="F110" s="172"/>
      <c r="G110" s="214"/>
      <c r="H110" s="214"/>
      <c r="I110" s="214"/>
    </row>
    <row r="111" spans="2:9">
      <c r="B111" s="172" t="s">
        <v>357</v>
      </c>
      <c r="C111" s="149" t="s">
        <v>358</v>
      </c>
      <c r="D111" s="149" t="s">
        <v>207</v>
      </c>
      <c r="E111" s="174"/>
      <c r="F111" s="172"/>
      <c r="G111" s="205">
        <v>747.09</v>
      </c>
      <c r="H111" s="214" t="s">
        <v>359</v>
      </c>
      <c r="I111" s="214"/>
    </row>
    <row r="112" spans="2:9">
      <c r="B112" s="149"/>
      <c r="C112" s="149"/>
      <c r="D112" s="149"/>
      <c r="E112" s="174"/>
      <c r="F112" s="172"/>
      <c r="G112" s="180"/>
      <c r="H112" s="176" t="s">
        <v>360</v>
      </c>
      <c r="I112" s="173" t="s">
        <v>361</v>
      </c>
    </row>
    <row r="113" spans="2:10">
      <c r="B113" s="149"/>
      <c r="C113" s="149"/>
      <c r="D113" s="149"/>
      <c r="E113" s="174"/>
      <c r="F113" s="178" t="s">
        <v>362</v>
      </c>
      <c r="G113" s="180">
        <f>SUM(G109+G89+G69)</f>
        <v>26412.696</v>
      </c>
      <c r="H113" s="225"/>
      <c r="I113" s="173" t="s">
        <v>363</v>
      </c>
    </row>
    <row r="114" spans="2:10">
      <c r="B114" s="149"/>
      <c r="C114" s="149"/>
      <c r="D114" s="149"/>
      <c r="E114" s="174"/>
      <c r="F114" s="172"/>
      <c r="G114" s="173"/>
      <c r="H114" s="173"/>
      <c r="I114" s="173"/>
    </row>
    <row r="115" spans="2:10">
      <c r="B115" s="268" t="s">
        <v>49</v>
      </c>
      <c r="C115" s="268"/>
      <c r="D115" s="268"/>
      <c r="E115" s="268"/>
      <c r="F115" s="268"/>
      <c r="G115" s="272"/>
      <c r="H115" s="172"/>
      <c r="I115" s="172"/>
    </row>
    <row r="116" spans="2:10">
      <c r="B116" s="172" t="s">
        <v>176</v>
      </c>
      <c r="C116" s="149" t="s">
        <v>177</v>
      </c>
      <c r="D116" s="149"/>
      <c r="E116" s="176">
        <v>0</v>
      </c>
      <c r="F116" s="149">
        <v>20</v>
      </c>
      <c r="G116" s="181">
        <f>E116*F116</f>
        <v>0</v>
      </c>
      <c r="H116" s="176"/>
      <c r="I116" s="176"/>
    </row>
    <row r="117" spans="2:10">
      <c r="B117" s="172" t="s">
        <v>259</v>
      </c>
      <c r="C117" s="149" t="s">
        <v>53</v>
      </c>
      <c r="D117" s="149"/>
      <c r="E117" s="174"/>
      <c r="F117" s="149">
        <v>12</v>
      </c>
      <c r="G117" s="173"/>
      <c r="H117" s="173"/>
      <c r="I117" s="173"/>
    </row>
    <row r="118" spans="2:10">
      <c r="E118" s="182"/>
      <c r="F118" s="183" t="s">
        <v>116</v>
      </c>
      <c r="G118" s="184">
        <f>SUM(G116:G117)</f>
        <v>0</v>
      </c>
      <c r="H118" s="206"/>
      <c r="I118" s="206"/>
    </row>
    <row r="119" spans="2:10">
      <c r="E119" s="182"/>
      <c r="F119" s="182"/>
      <c r="G119" s="185"/>
      <c r="H119" s="210"/>
      <c r="I119" s="210"/>
    </row>
    <row r="120" spans="2:10">
      <c r="B120" s="270" t="s">
        <v>188</v>
      </c>
      <c r="C120" s="270"/>
      <c r="D120" s="270"/>
      <c r="E120" s="270"/>
      <c r="F120" s="270"/>
      <c r="G120" s="270"/>
      <c r="H120" s="172"/>
      <c r="I120" s="172"/>
    </row>
    <row r="121" spans="2:10" s="164" customFormat="1">
      <c r="B121" s="164" t="s">
        <v>364</v>
      </c>
      <c r="E121" s="186">
        <v>8.5</v>
      </c>
      <c r="F121" s="164">
        <v>140</v>
      </c>
      <c r="G121" s="187">
        <f>E121*F121</f>
        <v>1190</v>
      </c>
      <c r="H121" s="187"/>
      <c r="I121" s="187" t="s">
        <v>321</v>
      </c>
      <c r="J121" s="164" t="s">
        <v>322</v>
      </c>
    </row>
    <row r="122" spans="2:10" s="164" customFormat="1">
      <c r="B122" s="164" t="s">
        <v>191</v>
      </c>
      <c r="C122" s="164" t="s">
        <v>192</v>
      </c>
      <c r="E122" s="187">
        <f>0</f>
        <v>0</v>
      </c>
      <c r="G122" s="187">
        <f>0</f>
        <v>0</v>
      </c>
      <c r="H122" s="187"/>
      <c r="I122" s="187"/>
    </row>
    <row r="123" spans="2:10" s="164" customFormat="1">
      <c r="B123" s="164" t="s">
        <v>193</v>
      </c>
      <c r="C123" s="164" t="s">
        <v>192</v>
      </c>
      <c r="E123" s="187">
        <f>0</f>
        <v>0</v>
      </c>
      <c r="G123" s="187">
        <f>0</f>
        <v>0</v>
      </c>
      <c r="I123" s="187"/>
    </row>
    <row r="124" spans="2:10" s="164" customFormat="1">
      <c r="B124" s="164" t="s">
        <v>365</v>
      </c>
      <c r="C124" s="164" t="s">
        <v>366</v>
      </c>
      <c r="E124" s="187">
        <f>0</f>
        <v>0</v>
      </c>
      <c r="G124" s="187">
        <f>0</f>
        <v>0</v>
      </c>
      <c r="I124" s="187"/>
    </row>
    <row r="125" spans="2:10" s="164" customFormat="1">
      <c r="B125" s="164" t="s">
        <v>194</v>
      </c>
      <c r="C125" s="164" t="s">
        <v>192</v>
      </c>
      <c r="E125" s="187">
        <f>0</f>
        <v>0</v>
      </c>
      <c r="G125" s="187">
        <f>0</f>
        <v>0</v>
      </c>
      <c r="H125" s="187"/>
      <c r="I125" s="187"/>
    </row>
    <row r="126" spans="2:10" s="164" customFormat="1">
      <c r="B126" s="164" t="s">
        <v>195</v>
      </c>
      <c r="C126" s="137" t="s">
        <v>367</v>
      </c>
      <c r="E126" s="187">
        <f>9</f>
        <v>9</v>
      </c>
      <c r="F126" s="164">
        <v>32</v>
      </c>
      <c r="G126" s="187">
        <f>E126*F126</f>
        <v>288</v>
      </c>
      <c r="H126" s="187"/>
      <c r="I126" s="187" t="s">
        <v>368</v>
      </c>
    </row>
    <row r="127" spans="2:10" s="164" customFormat="1">
      <c r="B127" s="164" t="s">
        <v>369</v>
      </c>
      <c r="C127" s="137"/>
      <c r="E127" s="187"/>
      <c r="G127" s="187">
        <v>338.15</v>
      </c>
      <c r="H127" s="187"/>
      <c r="I127" s="187" t="s">
        <v>368</v>
      </c>
    </row>
    <row r="128" spans="2:10" s="164" customFormat="1">
      <c r="B128" s="164" t="s">
        <v>370</v>
      </c>
      <c r="C128" s="137" t="s">
        <v>371</v>
      </c>
      <c r="E128" s="187">
        <f>0</f>
        <v>0</v>
      </c>
      <c r="F128" s="164">
        <v>100</v>
      </c>
      <c r="G128" s="187">
        <f>0</f>
        <v>0</v>
      </c>
      <c r="H128" s="187"/>
      <c r="I128" s="187"/>
    </row>
    <row r="129" spans="2:10">
      <c r="F129" s="183" t="s">
        <v>116</v>
      </c>
      <c r="G129" s="188">
        <f>SUM(G121:G128)</f>
        <v>1816.15</v>
      </c>
      <c r="H129" s="204"/>
      <c r="I129" s="204"/>
    </row>
    <row r="130" spans="2:10">
      <c r="F130" s="182"/>
      <c r="G130" s="138"/>
      <c r="H130" s="138"/>
      <c r="I130" s="138"/>
    </row>
    <row r="131" spans="2:10">
      <c r="E131" s="132" t="s">
        <v>197</v>
      </c>
      <c r="F131" s="189"/>
      <c r="G131" s="133">
        <f>G59+G113+G118+G129+G111</f>
        <v>30099.159000000003</v>
      </c>
      <c r="H131" s="215"/>
      <c r="I131" s="215"/>
    </row>
    <row r="132" spans="2:10">
      <c r="E132" s="182"/>
      <c r="F132" s="182"/>
      <c r="G132" s="185"/>
      <c r="H132" s="210"/>
      <c r="I132" s="210"/>
    </row>
    <row r="133" spans="2:10">
      <c r="B133" s="271" t="s">
        <v>198</v>
      </c>
      <c r="C133" s="271"/>
      <c r="D133" s="271"/>
      <c r="E133" s="271"/>
      <c r="F133" s="271"/>
      <c r="G133" s="271"/>
      <c r="H133" s="155"/>
      <c r="I133" s="155"/>
    </row>
    <row r="134" spans="2:10">
      <c r="B134" s="168" t="s">
        <v>145</v>
      </c>
      <c r="C134" s="168" t="s">
        <v>146</v>
      </c>
      <c r="D134" s="168"/>
      <c r="E134" s="168" t="s">
        <v>199</v>
      </c>
      <c r="F134" s="168" t="s">
        <v>262</v>
      </c>
      <c r="G134" s="169" t="s">
        <v>148</v>
      </c>
      <c r="H134" s="213"/>
      <c r="I134" s="213"/>
    </row>
    <row r="135" spans="2:10">
      <c r="B135" s="268" t="s">
        <v>372</v>
      </c>
      <c r="C135" s="268"/>
      <c r="D135" s="268"/>
      <c r="E135" s="268"/>
      <c r="F135" s="268"/>
      <c r="G135" s="268"/>
      <c r="H135" s="172"/>
      <c r="I135" s="172"/>
    </row>
    <row r="136" spans="2:10">
      <c r="B136" s="190" t="s">
        <v>264</v>
      </c>
      <c r="C136" s="149" t="s">
        <v>373</v>
      </c>
      <c r="D136" s="149"/>
      <c r="E136" s="191">
        <f>E9</f>
        <v>150.44</v>
      </c>
      <c r="F136" s="149">
        <v>2</v>
      </c>
      <c r="G136" s="192">
        <f>E136*F136</f>
        <v>300.88</v>
      </c>
      <c r="H136" s="192"/>
      <c r="I136" s="192"/>
    </row>
    <row r="137" spans="2:10">
      <c r="B137" s="149" t="s">
        <v>265</v>
      </c>
      <c r="C137" s="149" t="s">
        <v>374</v>
      </c>
      <c r="D137" s="149"/>
      <c r="E137" s="191">
        <f>E9</f>
        <v>150.44</v>
      </c>
      <c r="F137" s="149">
        <v>4</v>
      </c>
      <c r="G137" s="192">
        <f>E137*F137</f>
        <v>601.76</v>
      </c>
      <c r="H137" s="192"/>
      <c r="I137" s="192"/>
    </row>
    <row r="138" spans="2:10">
      <c r="B138" s="149" t="s">
        <v>266</v>
      </c>
      <c r="C138" s="149" t="s">
        <v>375</v>
      </c>
      <c r="D138" s="149"/>
      <c r="E138" s="191">
        <f>E10</f>
        <v>176.99</v>
      </c>
      <c r="F138" s="149">
        <v>2</v>
      </c>
      <c r="G138" s="192">
        <f t="shared" ref="G137:G139" si="5">E138*F138</f>
        <v>353.98</v>
      </c>
      <c r="H138" s="192"/>
      <c r="I138" s="192"/>
    </row>
    <row r="139" spans="2:10">
      <c r="B139" s="149" t="s">
        <v>267</v>
      </c>
      <c r="C139" s="149" t="s">
        <v>376</v>
      </c>
      <c r="D139" s="149"/>
      <c r="E139" s="191">
        <f>E11</f>
        <v>199.12</v>
      </c>
      <c r="F139" s="149">
        <v>1</v>
      </c>
      <c r="G139" s="192">
        <f t="shared" si="5"/>
        <v>199.12</v>
      </c>
      <c r="H139" s="192"/>
      <c r="I139" s="192"/>
    </row>
    <row r="140" spans="2:10">
      <c r="B140" s="149" t="s">
        <v>179</v>
      </c>
      <c r="C140" s="149" t="s">
        <v>377</v>
      </c>
      <c r="D140" s="149"/>
      <c r="E140" s="191">
        <f>E11</f>
        <v>199.12</v>
      </c>
      <c r="F140" s="149">
        <v>3</v>
      </c>
      <c r="G140" s="192">
        <f>E140*F140</f>
        <v>597.36</v>
      </c>
      <c r="H140" s="192"/>
      <c r="I140" s="192"/>
    </row>
    <row r="141" spans="2:10">
      <c r="B141" s="149"/>
      <c r="C141" s="149"/>
      <c r="D141" s="149"/>
      <c r="E141" s="149"/>
      <c r="F141" s="193" t="s">
        <v>116</v>
      </c>
      <c r="G141" s="194">
        <f>SUM(G136:G140)</f>
        <v>2053.1</v>
      </c>
      <c r="H141" s="206"/>
      <c r="I141" s="206"/>
    </row>
    <row r="142" spans="2:10">
      <c r="B142" s="270" t="s">
        <v>378</v>
      </c>
      <c r="C142" s="270"/>
      <c r="D142" s="270"/>
      <c r="E142" s="270"/>
      <c r="F142" s="270"/>
      <c r="G142" s="270"/>
      <c r="H142" s="172"/>
      <c r="I142" s="172"/>
    </row>
    <row r="143" spans="2:10">
      <c r="B143" s="182" t="s">
        <v>203</v>
      </c>
      <c r="C143" s="137" t="s">
        <v>379</v>
      </c>
      <c r="E143" s="195"/>
      <c r="F143" s="196" t="s">
        <v>380</v>
      </c>
      <c r="G143" s="151">
        <v>203.4</v>
      </c>
      <c r="I143" s="151" t="s">
        <v>321</v>
      </c>
      <c r="J143" s="137" t="s">
        <v>322</v>
      </c>
    </row>
    <row r="144" spans="2:10">
      <c r="B144" s="203" t="s">
        <v>381</v>
      </c>
      <c r="G144" s="210">
        <f>SUM(G145:G150)</f>
        <v>759.90000000000009</v>
      </c>
      <c r="I144" s="151"/>
    </row>
    <row r="145" spans="2:10">
      <c r="B145" s="203"/>
      <c r="C145" s="137" t="s">
        <v>321</v>
      </c>
      <c r="D145" s="137" t="s">
        <v>382</v>
      </c>
      <c r="E145" s="138">
        <v>56.85</v>
      </c>
      <c r="F145" s="196">
        <v>4</v>
      </c>
      <c r="G145" s="151">
        <f>E145*F145</f>
        <v>227.4</v>
      </c>
      <c r="H145" s="137" t="s">
        <v>383</v>
      </c>
      <c r="I145" s="151" t="s">
        <v>321</v>
      </c>
      <c r="J145" s="137" t="s">
        <v>322</v>
      </c>
    </row>
    <row r="146" spans="2:10">
      <c r="B146" s="203"/>
      <c r="C146" s="137" t="s">
        <v>384</v>
      </c>
      <c r="E146" s="138">
        <v>50.85</v>
      </c>
      <c r="F146" s="196">
        <v>2</v>
      </c>
      <c r="G146" s="151">
        <f>E146*F146</f>
        <v>101.7</v>
      </c>
      <c r="H146" s="137" t="s">
        <v>385</v>
      </c>
      <c r="I146" s="151" t="s">
        <v>384</v>
      </c>
      <c r="J146" s="137" t="s">
        <v>386</v>
      </c>
    </row>
    <row r="147" spans="2:10">
      <c r="B147" s="203"/>
      <c r="C147" s="137" t="s">
        <v>387</v>
      </c>
      <c r="E147" s="138">
        <v>50.85</v>
      </c>
      <c r="F147" s="196">
        <v>2</v>
      </c>
      <c r="G147" s="151">
        <f>F147*E147</f>
        <v>101.7</v>
      </c>
      <c r="H147" s="137" t="s">
        <v>385</v>
      </c>
      <c r="I147" s="151" t="s">
        <v>387</v>
      </c>
      <c r="J147" s="137" t="s">
        <v>386</v>
      </c>
    </row>
    <row r="148" spans="2:10">
      <c r="B148" s="203"/>
      <c r="C148" s="137" t="s">
        <v>388</v>
      </c>
      <c r="D148" s="137" t="s">
        <v>382</v>
      </c>
      <c r="E148" s="138">
        <v>56.85</v>
      </c>
      <c r="F148" s="196">
        <v>2</v>
      </c>
      <c r="G148" s="151">
        <f>F148*E148</f>
        <v>113.7</v>
      </c>
      <c r="H148" s="137" t="s">
        <v>385</v>
      </c>
      <c r="I148" s="151" t="s">
        <v>388</v>
      </c>
      <c r="J148" s="137" t="s">
        <v>386</v>
      </c>
    </row>
    <row r="149" spans="2:10">
      <c r="B149" s="203"/>
      <c r="C149" s="137" t="s">
        <v>389</v>
      </c>
      <c r="D149" s="137" t="s">
        <v>382</v>
      </c>
      <c r="E149" s="138">
        <v>56.85</v>
      </c>
      <c r="F149" s="196">
        <v>2</v>
      </c>
      <c r="G149" s="151">
        <f>F149*E149</f>
        <v>113.7</v>
      </c>
      <c r="H149" s="137" t="s">
        <v>385</v>
      </c>
      <c r="I149" s="151" t="s">
        <v>389</v>
      </c>
      <c r="J149" s="137" t="s">
        <v>386</v>
      </c>
    </row>
    <row r="150" spans="2:10">
      <c r="B150" s="203"/>
      <c r="C150" s="137" t="s">
        <v>390</v>
      </c>
      <c r="E150" s="138">
        <v>50.85</v>
      </c>
      <c r="F150" s="196">
        <v>2</v>
      </c>
      <c r="G150" s="151">
        <f>F150*E150</f>
        <v>101.7</v>
      </c>
      <c r="H150" s="137" t="s">
        <v>385</v>
      </c>
      <c r="I150" s="151" t="s">
        <v>390</v>
      </c>
      <c r="J150" s="137" t="s">
        <v>386</v>
      </c>
    </row>
    <row r="151" spans="2:10">
      <c r="B151" s="203" t="s">
        <v>391</v>
      </c>
      <c r="C151" s="137" t="s">
        <v>392</v>
      </c>
      <c r="D151" s="227" t="s">
        <v>393</v>
      </c>
      <c r="E151" s="138"/>
      <c r="F151" s="196"/>
      <c r="G151" s="210">
        <v>682.52</v>
      </c>
      <c r="H151" s="225"/>
      <c r="I151" s="151"/>
    </row>
    <row r="152" spans="2:10">
      <c r="B152" s="233" t="s">
        <v>394</v>
      </c>
      <c r="C152" s="234" t="s">
        <v>395</v>
      </c>
      <c r="D152" s="234"/>
      <c r="E152" s="235"/>
      <c r="F152" s="236"/>
      <c r="G152" s="237">
        <v>74.37</v>
      </c>
      <c r="H152" s="151"/>
      <c r="I152" s="151"/>
    </row>
    <row r="153" spans="2:10">
      <c r="B153" s="203" t="s">
        <v>396</v>
      </c>
      <c r="C153" s="137" t="s">
        <v>397</v>
      </c>
      <c r="E153" s="138"/>
      <c r="F153" s="196"/>
      <c r="G153" s="151">
        <v>143.24</v>
      </c>
      <c r="H153" s="151"/>
      <c r="I153" s="151"/>
    </row>
    <row r="154" spans="2:10">
      <c r="B154" s="203" t="s">
        <v>398</v>
      </c>
      <c r="C154" s="137" t="s">
        <v>399</v>
      </c>
      <c r="E154" s="138"/>
      <c r="F154" s="196"/>
      <c r="G154" s="151">
        <f>1.5*1.13</f>
        <v>1.6949999999999998</v>
      </c>
      <c r="H154" s="151" t="s">
        <v>400</v>
      </c>
      <c r="I154" s="151" t="s">
        <v>387</v>
      </c>
      <c r="J154" s="137" t="s">
        <v>386</v>
      </c>
    </row>
    <row r="155" spans="2:10">
      <c r="B155" s="203" t="s">
        <v>401</v>
      </c>
      <c r="C155" s="137" t="s">
        <v>399</v>
      </c>
      <c r="E155" s="138">
        <v>1.5</v>
      </c>
      <c r="F155" s="196">
        <v>12</v>
      </c>
      <c r="G155" s="151">
        <f>(E155*F155)*1.13</f>
        <v>20.339999999999996</v>
      </c>
      <c r="H155" s="151" t="s">
        <v>402</v>
      </c>
      <c r="I155" s="151" t="s">
        <v>387</v>
      </c>
      <c r="J155" s="137" t="s">
        <v>386</v>
      </c>
    </row>
    <row r="156" spans="2:10">
      <c r="B156" s="203" t="s">
        <v>403</v>
      </c>
      <c r="C156" s="137" t="s">
        <v>404</v>
      </c>
      <c r="E156" s="138">
        <v>16.75</v>
      </c>
      <c r="F156" s="196">
        <v>25</v>
      </c>
      <c r="G156" s="151">
        <f>(E156*F156)*1.13</f>
        <v>473.18749999999994</v>
      </c>
      <c r="H156" s="151"/>
      <c r="I156" s="151" t="s">
        <v>387</v>
      </c>
      <c r="J156" s="137" t="s">
        <v>386</v>
      </c>
    </row>
    <row r="157" spans="2:10">
      <c r="B157" s="203" t="s">
        <v>405</v>
      </c>
      <c r="C157" s="137" t="s">
        <v>366</v>
      </c>
      <c r="E157" s="138"/>
      <c r="F157" s="196">
        <v>42</v>
      </c>
      <c r="G157" s="187">
        <f>0</f>
        <v>0</v>
      </c>
      <c r="H157" s="151"/>
      <c r="I157" s="151"/>
    </row>
    <row r="158" spans="2:10">
      <c r="B158" s="203" t="s">
        <v>406</v>
      </c>
      <c r="C158" s="137" t="s">
        <v>407</v>
      </c>
      <c r="E158" s="138"/>
      <c r="F158" s="196" t="s">
        <v>408</v>
      </c>
      <c r="G158" s="187">
        <v>47.2</v>
      </c>
      <c r="H158" s="151"/>
      <c r="I158" s="151"/>
    </row>
    <row r="159" spans="2:10">
      <c r="E159" s="197"/>
      <c r="F159" s="193" t="s">
        <v>116</v>
      </c>
      <c r="G159" s="194">
        <f>SUM(G143,G144,G151,G152,G156,G153,G158)</f>
        <v>2383.8175000000001</v>
      </c>
      <c r="H159" s="206"/>
      <c r="I159" s="206"/>
    </row>
    <row r="160" spans="2:10">
      <c r="B160" s="268" t="s">
        <v>49</v>
      </c>
      <c r="C160" s="268"/>
      <c r="D160" s="268"/>
      <c r="E160" s="268"/>
      <c r="F160" s="268"/>
      <c r="G160" s="268"/>
      <c r="H160" s="172"/>
      <c r="I160" s="172"/>
    </row>
    <row r="161" spans="2:9">
      <c r="B161" s="172" t="s">
        <v>210</v>
      </c>
      <c r="C161" s="172"/>
      <c r="D161" s="172"/>
      <c r="E161" s="172"/>
      <c r="F161" s="172"/>
      <c r="G161" s="173"/>
      <c r="H161" s="173"/>
      <c r="I161" s="173"/>
    </row>
    <row r="162" spans="2:9">
      <c r="C162" s="137" t="s">
        <v>50</v>
      </c>
      <c r="E162" s="138"/>
      <c r="G162" s="138">
        <v>0</v>
      </c>
      <c r="H162" s="138"/>
      <c r="I162" s="138"/>
    </row>
    <row r="163" spans="2:9">
      <c r="B163" s="234"/>
      <c r="C163" s="234" t="s">
        <v>409</v>
      </c>
      <c r="D163" s="234"/>
      <c r="E163" s="235"/>
      <c r="F163" s="234"/>
      <c r="G163" s="235">
        <v>130</v>
      </c>
      <c r="H163" s="138"/>
      <c r="I163" s="138"/>
    </row>
    <row r="164" spans="2:9">
      <c r="B164" s="182" t="s">
        <v>176</v>
      </c>
      <c r="G164" s="138"/>
      <c r="H164" s="138"/>
      <c r="I164" s="138"/>
    </row>
    <row r="165" spans="2:9">
      <c r="C165" s="137" t="s">
        <v>212</v>
      </c>
      <c r="E165" s="138"/>
      <c r="G165" s="138">
        <v>0</v>
      </c>
      <c r="H165" s="138"/>
      <c r="I165" s="138"/>
    </row>
    <row r="166" spans="2:9">
      <c r="C166" s="137" t="s">
        <v>53</v>
      </c>
      <c r="E166" s="138"/>
      <c r="G166" s="138">
        <v>0</v>
      </c>
      <c r="H166" s="138"/>
      <c r="I166" s="138"/>
    </row>
    <row r="167" spans="2:9">
      <c r="C167" s="137" t="s">
        <v>54</v>
      </c>
      <c r="G167" s="138">
        <v>0</v>
      </c>
      <c r="H167" s="138"/>
      <c r="I167" s="138"/>
    </row>
    <row r="168" spans="2:9">
      <c r="G168" s="138"/>
      <c r="H168" s="138"/>
      <c r="I168" s="138"/>
    </row>
    <row r="169" spans="2:9">
      <c r="F169" s="145" t="s">
        <v>116</v>
      </c>
      <c r="G169" s="198">
        <f>SUM(G163:G167)</f>
        <v>130</v>
      </c>
      <c r="H169" s="204"/>
      <c r="I169" s="204"/>
    </row>
    <row r="170" spans="2:9">
      <c r="B170" s="268" t="s">
        <v>179</v>
      </c>
      <c r="C170" s="268"/>
      <c r="D170" s="268"/>
      <c r="E170" s="268"/>
      <c r="F170" s="268"/>
      <c r="G170" s="268"/>
      <c r="H170" s="172"/>
      <c r="I170" s="172"/>
    </row>
    <row r="171" spans="2:9">
      <c r="B171" s="182" t="s">
        <v>182</v>
      </c>
      <c r="E171" s="137" t="s">
        <v>410</v>
      </c>
      <c r="F171" s="137" t="s">
        <v>214</v>
      </c>
      <c r="G171" s="138"/>
      <c r="H171" s="138"/>
      <c r="I171" s="138"/>
    </row>
    <row r="172" spans="2:9">
      <c r="B172" s="199" t="s">
        <v>411</v>
      </c>
      <c r="C172" s="137" t="s">
        <v>412</v>
      </c>
      <c r="E172" s="138">
        <v>0.59</v>
      </c>
      <c r="F172" s="137">
        <v>154.6</v>
      </c>
      <c r="G172" s="138">
        <f>E172*F172</f>
        <v>91.213999999999999</v>
      </c>
      <c r="H172" s="138" t="s">
        <v>413</v>
      </c>
      <c r="I172" s="138"/>
    </row>
    <row r="173" spans="2:9">
      <c r="B173" s="182"/>
      <c r="C173" s="137" t="s">
        <v>414</v>
      </c>
      <c r="E173" s="138"/>
      <c r="G173" s="138">
        <v>230.52</v>
      </c>
      <c r="H173" s="138" t="s">
        <v>415</v>
      </c>
      <c r="I173" s="138"/>
    </row>
    <row r="174" spans="2:9">
      <c r="B174" s="182"/>
      <c r="C174" s="137" t="s">
        <v>416</v>
      </c>
      <c r="E174" s="138">
        <v>0.59</v>
      </c>
      <c r="F174" s="137">
        <v>566</v>
      </c>
      <c r="G174" s="138">
        <f>E174*F174</f>
        <v>333.94</v>
      </c>
      <c r="H174" s="138" t="s">
        <v>417</v>
      </c>
      <c r="I174" s="138"/>
    </row>
    <row r="175" spans="2:9">
      <c r="B175" s="182"/>
      <c r="E175" s="138"/>
      <c r="G175" s="138"/>
      <c r="H175" s="138"/>
      <c r="I175" s="138"/>
    </row>
    <row r="176" spans="2:9">
      <c r="B176" s="137" t="s">
        <v>220</v>
      </c>
      <c r="C176" s="137" t="s">
        <v>217</v>
      </c>
      <c r="D176" s="137" t="s">
        <v>418</v>
      </c>
      <c r="E176" s="138"/>
      <c r="G176" s="138">
        <v>12</v>
      </c>
      <c r="H176" s="138"/>
      <c r="I176" s="138"/>
    </row>
    <row r="177" spans="2:9">
      <c r="B177" s="182"/>
      <c r="C177" s="137" t="s">
        <v>218</v>
      </c>
      <c r="E177" s="138"/>
      <c r="G177" s="138">
        <v>3.75</v>
      </c>
      <c r="H177" s="138"/>
      <c r="I177" s="138"/>
    </row>
    <row r="178" spans="2:9">
      <c r="B178" s="182"/>
      <c r="C178" s="137" t="s">
        <v>219</v>
      </c>
      <c r="D178" s="137" t="s">
        <v>418</v>
      </c>
      <c r="E178" s="138"/>
      <c r="G178" s="138">
        <v>18</v>
      </c>
      <c r="H178" s="138"/>
      <c r="I178" s="138"/>
    </row>
    <row r="179" spans="2:9">
      <c r="B179" s="182"/>
      <c r="E179" s="138"/>
      <c r="G179" s="138"/>
      <c r="H179" s="138"/>
      <c r="I179" s="138"/>
    </row>
    <row r="180" spans="2:9">
      <c r="B180" s="182" t="s">
        <v>221</v>
      </c>
      <c r="E180" s="137" t="s">
        <v>419</v>
      </c>
      <c r="F180" s="137" t="s">
        <v>223</v>
      </c>
      <c r="G180" s="138"/>
      <c r="H180" s="138"/>
      <c r="I180" s="138"/>
    </row>
    <row r="181" spans="2:9">
      <c r="B181" s="199" t="s">
        <v>420</v>
      </c>
      <c r="C181" s="137" t="s">
        <v>217</v>
      </c>
      <c r="E181" s="138">
        <v>90.4</v>
      </c>
      <c r="F181" s="137">
        <v>3</v>
      </c>
      <c r="G181" s="138">
        <f>E181*F181</f>
        <v>271.20000000000005</v>
      </c>
      <c r="H181" s="137" t="s">
        <v>421</v>
      </c>
      <c r="I181" s="138"/>
    </row>
    <row r="182" spans="2:9">
      <c r="B182" s="199" t="s">
        <v>422</v>
      </c>
      <c r="C182" s="137" t="s">
        <v>218</v>
      </c>
      <c r="E182" s="138">
        <v>90.4</v>
      </c>
      <c r="F182" s="137">
        <v>4</v>
      </c>
      <c r="G182" s="138">
        <f>E182*F182</f>
        <v>361.6</v>
      </c>
      <c r="H182" s="137" t="s">
        <v>423</v>
      </c>
      <c r="I182" s="138"/>
    </row>
    <row r="183" spans="2:9">
      <c r="B183" s="182"/>
      <c r="C183" s="137" t="s">
        <v>219</v>
      </c>
      <c r="E183" s="138">
        <v>90.4</v>
      </c>
      <c r="F183" s="137">
        <v>2</v>
      </c>
      <c r="G183" s="138">
        <f>E183*F183</f>
        <v>180.8</v>
      </c>
      <c r="H183" s="137" t="s">
        <v>424</v>
      </c>
      <c r="I183" s="138"/>
    </row>
    <row r="184" spans="2:9">
      <c r="B184" s="182"/>
      <c r="E184" s="138"/>
      <c r="G184" s="138"/>
      <c r="H184" s="138"/>
      <c r="I184" s="138"/>
    </row>
    <row r="185" spans="2:9">
      <c r="B185" s="182" t="s">
        <v>425</v>
      </c>
      <c r="E185" s="138"/>
      <c r="G185" s="138"/>
      <c r="H185" s="138"/>
      <c r="I185" s="138"/>
    </row>
    <row r="186" spans="2:9">
      <c r="B186" s="199"/>
      <c r="C186" s="137" t="s">
        <v>217</v>
      </c>
      <c r="E186" s="138"/>
      <c r="G186" s="138">
        <v>0</v>
      </c>
      <c r="H186" s="138"/>
      <c r="I186" s="138"/>
    </row>
    <row r="187" spans="2:9">
      <c r="B187" s="182"/>
      <c r="C187" s="137" t="s">
        <v>218</v>
      </c>
      <c r="E187" s="138"/>
      <c r="G187" s="138">
        <v>31.85</v>
      </c>
      <c r="H187" s="138"/>
      <c r="I187" s="138"/>
    </row>
    <row r="188" spans="2:9">
      <c r="C188" s="137" t="s">
        <v>219</v>
      </c>
      <c r="E188" s="138"/>
      <c r="G188" s="138">
        <v>0</v>
      </c>
      <c r="H188" s="138"/>
      <c r="I188" s="138"/>
    </row>
    <row r="189" spans="2:9">
      <c r="E189" s="138"/>
      <c r="G189" s="138"/>
      <c r="H189" s="138"/>
      <c r="I189" s="138"/>
    </row>
    <row r="190" spans="2:9">
      <c r="F190" s="145" t="s">
        <v>116</v>
      </c>
      <c r="G190" s="200">
        <f>SUM(G172:G189)</f>
        <v>1534.874</v>
      </c>
      <c r="H190" s="204"/>
      <c r="I190" s="204"/>
    </row>
    <row r="191" spans="2:9">
      <c r="F191" s="182"/>
      <c r="G191" s="204"/>
      <c r="H191" s="204"/>
      <c r="I191" s="204"/>
    </row>
    <row r="192" spans="2:9">
      <c r="B192" s="268" t="s">
        <v>426</v>
      </c>
      <c r="C192" s="268"/>
      <c r="D192" s="268"/>
      <c r="E192" s="268"/>
      <c r="F192" s="268"/>
      <c r="G192" s="268"/>
      <c r="H192" s="172"/>
      <c r="I192" s="172"/>
    </row>
    <row r="193" spans="2:9">
      <c r="B193" s="182" t="s">
        <v>182</v>
      </c>
      <c r="E193" s="137" t="s">
        <v>410</v>
      </c>
      <c r="F193" s="137" t="s">
        <v>214</v>
      </c>
      <c r="G193" s="138"/>
      <c r="H193" s="170"/>
      <c r="I193" s="170"/>
    </row>
    <row r="194" spans="2:9">
      <c r="B194" s="199" t="s">
        <v>427</v>
      </c>
      <c r="C194" s="137" t="s">
        <v>428</v>
      </c>
      <c r="D194" s="137" t="s">
        <v>429</v>
      </c>
      <c r="E194" s="138">
        <v>0.59</v>
      </c>
      <c r="F194" s="137">
        <v>208</v>
      </c>
      <c r="G194" s="138">
        <f>E194*F194+7</f>
        <v>129.72</v>
      </c>
      <c r="H194" s="170"/>
      <c r="I194" s="170"/>
    </row>
    <row r="195" spans="2:9">
      <c r="B195" s="182"/>
      <c r="C195" s="137" t="s">
        <v>430</v>
      </c>
      <c r="E195" s="138"/>
      <c r="G195" s="138">
        <v>0</v>
      </c>
      <c r="H195" s="170"/>
      <c r="I195" s="170"/>
    </row>
    <row r="196" spans="2:9">
      <c r="B196" s="182"/>
      <c r="C196" s="137" t="s">
        <v>431</v>
      </c>
      <c r="D196" s="137" t="s">
        <v>429</v>
      </c>
      <c r="E196" s="138">
        <v>0.59</v>
      </c>
      <c r="F196" s="137">
        <v>248</v>
      </c>
      <c r="G196" s="138">
        <f>E196*F196+7</f>
        <v>153.32</v>
      </c>
      <c r="H196" s="138"/>
      <c r="I196" s="138"/>
    </row>
    <row r="197" spans="2:9">
      <c r="B197" s="182"/>
      <c r="E197" s="138"/>
      <c r="G197" s="138"/>
      <c r="H197" s="138"/>
      <c r="I197" s="138"/>
    </row>
    <row r="198" spans="2:9">
      <c r="B198" s="182"/>
      <c r="E198" s="138"/>
      <c r="F198" s="145" t="s">
        <v>116</v>
      </c>
      <c r="G198" s="200">
        <f>SUM(G194:G196)</f>
        <v>283.03999999999996</v>
      </c>
      <c r="H198" s="138"/>
      <c r="I198" s="138"/>
    </row>
    <row r="199" spans="2:9">
      <c r="B199" s="182"/>
      <c r="E199" s="138"/>
      <c r="G199" s="138"/>
      <c r="H199" s="138"/>
      <c r="I199" s="138"/>
    </row>
    <row r="200" spans="2:9">
      <c r="B200" s="270" t="s">
        <v>432</v>
      </c>
      <c r="C200" s="270"/>
      <c r="D200" s="270"/>
      <c r="E200" s="270"/>
      <c r="F200" s="270"/>
      <c r="G200" s="270"/>
      <c r="H200" s="138"/>
      <c r="I200" s="138"/>
    </row>
    <row r="201" spans="2:9">
      <c r="B201" s="137" t="s">
        <v>433</v>
      </c>
      <c r="C201" s="137" t="s">
        <v>434</v>
      </c>
      <c r="E201" s="138"/>
      <c r="G201" s="138">
        <v>352.16</v>
      </c>
      <c r="H201" s="138"/>
      <c r="I201" s="138"/>
    </row>
    <row r="202" spans="2:9">
      <c r="B202" s="231" t="s">
        <v>435</v>
      </c>
      <c r="C202" s="137" t="s">
        <v>436</v>
      </c>
      <c r="D202" s="137" t="s">
        <v>437</v>
      </c>
      <c r="E202" s="138"/>
      <c r="G202" s="138">
        <v>97.96</v>
      </c>
      <c r="H202" s="138"/>
      <c r="I202" s="138"/>
    </row>
    <row r="203" spans="2:9">
      <c r="B203" s="231"/>
      <c r="E203" s="138"/>
      <c r="G203" s="138"/>
      <c r="H203" s="138"/>
      <c r="I203" s="138"/>
    </row>
    <row r="204" spans="2:9">
      <c r="B204" s="231"/>
      <c r="E204" s="138"/>
      <c r="F204" s="145" t="s">
        <v>116</v>
      </c>
      <c r="G204" s="200">
        <f>SUM(G201:G202)</f>
        <v>450.12</v>
      </c>
      <c r="H204" s="138"/>
      <c r="I204" s="138"/>
    </row>
    <row r="205" spans="2:9">
      <c r="B205" s="182"/>
      <c r="E205" s="138"/>
      <c r="G205" s="138"/>
      <c r="H205" s="138"/>
      <c r="I205" s="138"/>
    </row>
    <row r="206" spans="2:9">
      <c r="B206" s="268" t="s">
        <v>268</v>
      </c>
      <c r="C206" s="268"/>
      <c r="D206" s="268"/>
      <c r="E206" s="268"/>
      <c r="F206" s="268"/>
      <c r="G206" s="268"/>
      <c r="H206" s="172"/>
      <c r="I206" s="172"/>
    </row>
    <row r="207" spans="2:9">
      <c r="B207" s="172"/>
      <c r="C207" s="137" t="s">
        <v>438</v>
      </c>
      <c r="D207" s="137" t="s">
        <v>439</v>
      </c>
      <c r="E207" s="172"/>
      <c r="F207" s="172"/>
      <c r="G207" s="176">
        <v>500</v>
      </c>
      <c r="H207" s="176"/>
      <c r="I207" s="176"/>
    </row>
    <row r="208" spans="2:9">
      <c r="B208" s="172"/>
      <c r="C208" s="137" t="s">
        <v>440</v>
      </c>
      <c r="D208" s="137" t="s">
        <v>441</v>
      </c>
      <c r="E208" s="172"/>
      <c r="F208" s="172"/>
      <c r="G208" s="176">
        <v>500</v>
      </c>
      <c r="H208" s="176"/>
      <c r="I208" s="176"/>
    </row>
    <row r="209" spans="2:9">
      <c r="C209" s="137" t="s">
        <v>442</v>
      </c>
      <c r="D209" s="137" t="s">
        <v>443</v>
      </c>
      <c r="G209" s="138">
        <v>250</v>
      </c>
      <c r="H209" s="138"/>
      <c r="I209" s="138"/>
    </row>
    <row r="210" spans="2:9">
      <c r="C210" s="137" t="s">
        <v>444</v>
      </c>
      <c r="D210" s="137" t="s">
        <v>445</v>
      </c>
      <c r="G210" s="138">
        <v>500</v>
      </c>
      <c r="H210" s="138"/>
      <c r="I210" s="138"/>
    </row>
    <row r="211" spans="2:9">
      <c r="C211" s="137" t="s">
        <v>446</v>
      </c>
      <c r="D211" s="137" t="s">
        <v>447</v>
      </c>
      <c r="G211" s="138">
        <v>250</v>
      </c>
      <c r="H211" s="138"/>
      <c r="I211" s="138"/>
    </row>
    <row r="212" spans="2:9">
      <c r="C212" s="137" t="s">
        <v>448</v>
      </c>
      <c r="D212" s="137" t="s">
        <v>449</v>
      </c>
      <c r="G212" s="138">
        <v>500</v>
      </c>
      <c r="H212" s="138"/>
      <c r="I212" s="138"/>
    </row>
    <row r="213" spans="2:9">
      <c r="C213" s="137" t="s">
        <v>240</v>
      </c>
      <c r="D213" s="137" t="s">
        <v>450</v>
      </c>
      <c r="G213" s="138">
        <v>500</v>
      </c>
      <c r="H213" s="138"/>
      <c r="I213" s="138"/>
    </row>
    <row r="214" spans="2:9">
      <c r="C214" s="137" t="s">
        <v>451</v>
      </c>
      <c r="D214" s="137" t="s">
        <v>452</v>
      </c>
      <c r="G214" s="138">
        <v>250</v>
      </c>
      <c r="H214" s="138"/>
      <c r="I214" s="138"/>
    </row>
    <row r="215" spans="2:9">
      <c r="F215" s="145" t="s">
        <v>116</v>
      </c>
      <c r="G215" s="226">
        <f>SUM(G207:G214)</f>
        <v>3250</v>
      </c>
      <c r="H215" s="204"/>
      <c r="I215" s="204"/>
    </row>
    <row r="216" spans="2:9">
      <c r="F216" s="182"/>
      <c r="G216" s="138"/>
      <c r="H216" s="138"/>
      <c r="I216" s="138"/>
    </row>
    <row r="217" spans="2:9">
      <c r="E217" s="132" t="s">
        <v>242</v>
      </c>
      <c r="F217" s="189"/>
      <c r="G217" s="133">
        <f>G159+G169+G190+G215+G141+G198+G204</f>
        <v>10084.951500000001</v>
      </c>
      <c r="H217" s="215"/>
      <c r="I217" s="215"/>
    </row>
    <row r="218" spans="2:9">
      <c r="G218" s="138"/>
      <c r="H218" s="138"/>
      <c r="I218" s="138"/>
    </row>
    <row r="219" spans="2:9">
      <c r="B219" s="166"/>
      <c r="C219" s="166"/>
      <c r="D219" s="166"/>
      <c r="E219" s="166"/>
      <c r="F219" s="134" t="s">
        <v>150</v>
      </c>
      <c r="G219" s="136">
        <f>G217+G131</f>
        <v>40184.110500000003</v>
      </c>
      <c r="H219" s="201"/>
      <c r="I219" s="201"/>
    </row>
    <row r="221" spans="2:9">
      <c r="B221" s="182"/>
    </row>
    <row r="222" spans="2:9">
      <c r="F222" s="182" t="s">
        <v>453</v>
      </c>
      <c r="G222" s="201">
        <f>0.1*G219</f>
        <v>4018.4110500000006</v>
      </c>
      <c r="H222" s="201"/>
      <c r="I222" s="201"/>
    </row>
    <row r="224" spans="2:9">
      <c r="F224" s="182" t="s">
        <v>269</v>
      </c>
      <c r="G224" s="201">
        <f>G49-G219-G222</f>
        <v>11417.608449999994</v>
      </c>
      <c r="H224" s="201"/>
      <c r="I224" s="201"/>
    </row>
    <row r="227" spans="6:8">
      <c r="F227" s="203" t="s">
        <v>454</v>
      </c>
      <c r="G227" s="201">
        <f>G222+G224</f>
        <v>15436.019499999995</v>
      </c>
      <c r="H227" s="137" t="s">
        <v>455</v>
      </c>
    </row>
    <row r="229" spans="6:8">
      <c r="H229" s="137" t="s">
        <v>456</v>
      </c>
    </row>
  </sheetData>
  <mergeCells count="21">
    <mergeCell ref="B2:J2"/>
    <mergeCell ref="B3:J3"/>
    <mergeCell ref="B4:J4"/>
    <mergeCell ref="B52:J52"/>
    <mergeCell ref="B53:J53"/>
    <mergeCell ref="B6:J6"/>
    <mergeCell ref="B7:J7"/>
    <mergeCell ref="B206:G206"/>
    <mergeCell ref="B29:G29"/>
    <mergeCell ref="B120:G120"/>
    <mergeCell ref="B133:G133"/>
    <mergeCell ref="B135:G135"/>
    <mergeCell ref="B142:G142"/>
    <mergeCell ref="B160:G160"/>
    <mergeCell ref="B170:G170"/>
    <mergeCell ref="B45:G45"/>
    <mergeCell ref="B55:G55"/>
    <mergeCell ref="B60:G60"/>
    <mergeCell ref="B115:G115"/>
    <mergeCell ref="B192:G192"/>
    <mergeCell ref="B200:G200"/>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Michela Contursi</dc:creator>
  <cp:keywords/>
  <dc:description/>
  <cp:lastModifiedBy>Lucas Greville</cp:lastModifiedBy>
  <cp:revision/>
  <dcterms:created xsi:type="dcterms:W3CDTF">2023-11-22T02:45:06Z</dcterms:created>
  <dcterms:modified xsi:type="dcterms:W3CDTF">2024-07-15T16:32:02Z</dcterms:modified>
  <cp:category/>
  <cp:contentStatus/>
</cp:coreProperties>
</file>