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epdang\PycharmProjects\DataAnalytics\text_mining\"/>
    </mc:Choice>
  </mc:AlternateContent>
  <bookViews>
    <workbookView xWindow="240" yWindow="465" windowWidth="16095" windowHeight="9660"/>
  </bookViews>
  <sheets>
    <sheet name="Sheet1" sheetId="1" r:id="rId1"/>
  </sheets>
  <calcPr calcId="152511"/>
</workbook>
</file>

<file path=xl/calcChain.xml><?xml version="1.0" encoding="utf-8"?>
<calcChain xmlns="http://schemas.openxmlformats.org/spreadsheetml/2006/main">
  <c r="F1471" i="1" l="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<sst xmlns="http://schemas.openxmlformats.org/spreadsheetml/2006/main" count="5070" uniqueCount="3161">
  <si>
    <t>Thời gian</t>
  </si>
  <si>
    <t>Tiêu đề</t>
  </si>
  <si>
    <t>Tỷ lệ thực hiện</t>
  </si>
  <si>
    <t>Ngày đăng ký cuối cùng</t>
  </si>
  <si>
    <t>Ngày thanh toán</t>
  </si>
  <si>
    <t>Link</t>
  </si>
  <si>
    <t>BSA: Trả cổ tức năm 2020 bằng cổ phiếu và trả cổ tức năm 2020 bằng tiền</t>
  </si>
  <si>
    <t>TNG: Chi trả cổ tức năm 2020 bằng cổ phiếu</t>
  </si>
  <si>
    <t>HD8: Lấy ý kiến cổ đông bằng văn bản và Trả cổ tức năm 2020 bằng tiền mặt</t>
  </si>
  <si>
    <t>TKA: Chi trả cổ tức năm 2020 bằng tiền</t>
  </si>
  <si>
    <t>API: Tham dự Đại hội đồng cổ đông bất thường năm 2021 và Trả cổ tức năm 2020 bằng tiền mặt</t>
  </si>
  <si>
    <t>NET: Chi trả cổ tức năm 2020 bằng tiền.</t>
  </si>
  <si>
    <t>DNA: Trả cổ tức năm 2020 bằng cổ phiếu</t>
  </si>
  <si>
    <t>THW: Chi trả cổ tức năm 2020 bằng tiền.</t>
  </si>
  <si>
    <t>FOX: Tạm ứng cổ tức lần 1 năm 2021 bằng tiền</t>
  </si>
  <si>
    <t>NT2: Chi trả cổ tức còn lại năm 2020 bằng tiền</t>
  </si>
  <si>
    <t>NBB: Thông báo về việc thay đổi thời gian thanh toán cổ tức đợt 1 năm 2020 bằng tiền</t>
  </si>
  <si>
    <t>SVT: Trả cổ tức năm 2020 bằng tiền</t>
  </si>
  <si>
    <t>SC5: Chi trả cổ tức năm 2020 bằng tiền</t>
  </si>
  <si>
    <t>MNB: Thay đổi ngày chi tạm ứng cổ tức năm 2020 bằng tiền</t>
  </si>
  <si>
    <t>DND: Chi trả cổ tức năm 2020 bằng tiền</t>
  </si>
  <si>
    <t>MSB: Trả cổ tức năm 2020 bằng cổ phiếu</t>
  </si>
  <si>
    <t>ASG: Thông báo về việc thực hiện chuyển dữ liệu đăng ký, lưu ký cổ phiếu ASG từ thị trường niêm yết HNX sang thị trường niêm yết HOSE</t>
  </si>
  <si>
    <t>DGT: Thay đổi ngày thanh toán cổ tức lần 11</t>
  </si>
  <si>
    <t>MBG: Về việc huỷ cổ phiếu lẻ do trả cổ tức năm 2019</t>
  </si>
  <si>
    <t>PVO: Chi trả cổ tức năm 2020 bằng tiền</t>
  </si>
  <si>
    <t>POW: Chi trả cổ tức bằng tiền năm 2020</t>
  </si>
  <si>
    <t>PVS: Chi trả cổ tức năm 2020 bằng tiền</t>
  </si>
  <si>
    <t>GLW: Trả cổ tức năm 2020 bằng tiền</t>
  </si>
  <si>
    <t>SNZ: Chi trả cổ tức năm 2020 bằng tiền</t>
  </si>
  <si>
    <t>SBR: Chi trả cổ tức năm 2020 bằng tiền</t>
  </si>
  <si>
    <t>HLD: Chi trả cổ tức năm 2020 bằng tiền</t>
  </si>
  <si>
    <t>HBC: Trả cổ tức năm 2020 bằng cổ phiếu</t>
  </si>
  <si>
    <t>BPC: Trả cổ tức năm 2020 bằng tiền</t>
  </si>
  <si>
    <t>TV4: Trả cổ tức bằng cổ phiếu năm 2020</t>
  </si>
  <si>
    <t>VLW: Tạm ứng cổ tức lần 1 năm 2021 bằng tiền</t>
  </si>
  <si>
    <t>SZE: Chi trả cổ tức năm 2020 bằng tiền.</t>
  </si>
  <si>
    <t>DNT: Chi cổ tức đợt 2 năm 2020 bằng tiền</t>
  </si>
  <si>
    <t>SGN: Chi trả cổ tức đợt 2 năm 2020 bằng tiền và thông qua quyết định của Đại hội đồng cổ đông dưới hình thức lấy ý kiến bằng văn bản.</t>
  </si>
  <si>
    <t>ABS: Chi trả cổ tức năm 2020 bằng tiền</t>
  </si>
  <si>
    <t>DBC: Tạm ứng cổ tức năm 2021 bằng tiền</t>
  </si>
  <si>
    <t>GKM: Trả cổ tức bằng cổ phiếu năm 2020</t>
  </si>
  <si>
    <t>NED: Điều chỉnh ngày tạm ứng cổ tức</t>
  </si>
  <si>
    <t>VSE: Chi trả cổ tức năm 2020 bằng tiền</t>
  </si>
  <si>
    <t>NQB: Chi trả cổ tức năm 2020 bằng tiền</t>
  </si>
  <si>
    <t>TS4: Thông báo về việc chuyển dữ liệu đăng ký, lưu ký cổ phiếu TS4 từ thị trường HOSE sang thị trường UPCOM</t>
  </si>
  <si>
    <t>CTD: Chi trả cổ tức năm 2020 bằng tiền</t>
  </si>
  <si>
    <t>SBV: Chi trả cổ tức năm 2020 bằng tiền.</t>
  </si>
  <si>
    <t>CLL: Chi trả cổ tức năm 2020 bằng tiền</t>
  </si>
  <si>
    <t>TMS: Chi trả cổ tức năm 2020 bằng tiền và chi trả cổ tức năm 2020 bằng cổ phiếu</t>
  </si>
  <si>
    <t>DQC: Chi trả cổ tức năm 2020 bằng tiền mặt</t>
  </si>
  <si>
    <t>KTC: Chi trả cổ tức năm 2020 bằng tiền</t>
  </si>
  <si>
    <t>BCF: Chi tạm ứng cổ tức bằng tiền đợt 1 năm 2021</t>
  </si>
  <si>
    <t>ARM: Chi trả cổ tức bằng tiền năm 2020</t>
  </si>
  <si>
    <t>VCG: Trả cổ tức còn lại năm 2020 và tạm ứng cổ tức năm 2021 bằng tiền</t>
  </si>
  <si>
    <t>TVH: Chi trả cổ tức năm 2020 bằng tiền</t>
  </si>
  <si>
    <t>CAT: Chi trả tạm ứng cổ tức năm 2021 bằng tiền</t>
  </si>
  <si>
    <t>LHC: Chi tạm ứng cổ tức đợt 1 năm 2021 bằng tiền.</t>
  </si>
  <si>
    <t>LBM: Tạm ứng cổ tức bằng tiền lần 1 năm 2021</t>
  </si>
  <si>
    <t>NAG: Trả cổ tức năm 2020 bằng cổ phiếu</t>
  </si>
  <si>
    <t>POS: Chi trả cổ tức năm 2020 bằng tiền.</t>
  </si>
  <si>
    <t>CTI: Thanh toán cổ tức năm 2020 bằng tiền</t>
  </si>
  <si>
    <t>XDH: Phát hành cổ phiếu tăng vốn điều lệ từ nguồn vốn chủ sở hữu</t>
  </si>
  <si>
    <t>VPG: Trả cổ tức năm 2020 bằng tiền</t>
  </si>
  <si>
    <t>NQN: Trả cổ tức năm 2020 bằng tiền</t>
  </si>
  <si>
    <t>TMP: Trả cổ tức bằng tiền phần còn lại năm 2020</t>
  </si>
  <si>
    <t>ALT: Chi trả cổ tức năm 2020 bằng tiền.</t>
  </si>
  <si>
    <t>YRC: Trả cổ tức năm 2020 bằng tiền</t>
  </si>
  <si>
    <t>HJS: Trả cổ tức bằng tiền đợt 2 năm 2020</t>
  </si>
  <si>
    <t>DRI: Tạm ứng cổ tức năm 2021 bằng tiền</t>
  </si>
  <si>
    <t>C69: Trả cổ tức năm 2020 bằng tiền</t>
  </si>
  <si>
    <t>BTP: Chi trả cổ tức bằng tiền năm 2020</t>
  </si>
  <si>
    <t>TBD: Trả cổ tức năm 2020 bằng tiền</t>
  </si>
  <si>
    <t>VHM: Chi trả cổ tức năm 2020 bằng tiền và Chi trả cổ tức năm 2020 bằng cổ phiếu</t>
  </si>
  <si>
    <t>HAT: Trả cổ tức năm 2020 bằng tiền</t>
  </si>
  <si>
    <t>HC1: Trả cổ tức năm 2020 bằng tiền</t>
  </si>
  <si>
    <t>BPW: Chi trả cổ tức năm 2020 bằng tiền.</t>
  </si>
  <si>
    <t>SPV: Chi trả cổ tức năm 2020 bằng tiền.</t>
  </si>
  <si>
    <t>HSV: Điều chỉnh thời gian thực hiện quyền mua cổ phiếu</t>
  </si>
  <si>
    <t>STP: Trả cổ tức năm 2020 bằng tiền</t>
  </si>
  <si>
    <t>CNG: Chi trả cổ tức năm 2020 bằng tiền</t>
  </si>
  <si>
    <t>GSP: Thực hiện quyền mua cổ phiếu</t>
  </si>
  <si>
    <t>PVP: Chi trả cổ tức năm 2020 bằng tiền và lấy ý kiến cổ đông bằng văn bản năm 2021</t>
  </si>
  <si>
    <t>CRE: Trả cổ tức năm 2020 bằng cổ phiếu và thực hiện quyền mua cổ phiếu</t>
  </si>
  <si>
    <t>PVI: Chi trả cổ tức năm 2020 bằng tiền mặt</t>
  </si>
  <si>
    <t>VGR: Tạm ứng cổ tức năm 2021 đợt 1 bằng tiền</t>
  </si>
  <si>
    <t>TCH: Trả cổ tức năm 2020 bằng cổ phiếu và thực hiện quyền mua cổ phiếu</t>
  </si>
  <si>
    <t>PPC: Trả cổ tức còn lại năm 2020 bằng tiền mặt và thực hiện quyền tham dự đại hội đồng cổ đông bất thường năm 2021</t>
  </si>
  <si>
    <t>CTT: Trả cổ tức năm 2020 bằng tiền</t>
  </si>
  <si>
    <t>C4G: Trả cổ tức năm 2020 bằng cổ phiếu</t>
  </si>
  <si>
    <t>HMS: Trả cổ tức năm 2020 bằng tiền</t>
  </si>
  <si>
    <t>DXG: Phát hành cổ phiếu để tăng vốn cổ phần từ nguồn vốn chủ sở hữu</t>
  </si>
  <si>
    <t>NTC: Chi trả cổ tức còn lại năm 2020 bằng tiền</t>
  </si>
  <si>
    <t>GDT: Chia cổ tức đợt cuối năm 2020 bằng tiền mặt</t>
  </si>
  <si>
    <t>DNW: Chi trả cổ tức bằng tiền mặt năm 2020</t>
  </si>
  <si>
    <t>VGV: Tham dự Đại hội đồng cổ đông bất thường năm 2021 và Trả cổ tức năm 2020 bằng tiền mặt</t>
  </si>
  <si>
    <t>DCG: Chi trả cổ tức năm 2020 bằng tiền</t>
  </si>
  <si>
    <t>CTB: Chi trả cổ tức năm 2020 bằng tiền</t>
  </si>
  <si>
    <t>SZL: Chi trả cổ tức năm 2020 bằng tiền</t>
  </si>
  <si>
    <t>HAP: Trả cổ tức năm 2020 bằng tiền</t>
  </si>
  <si>
    <t>CKD: Thay đổi ngày thanh toán cổ tức</t>
  </si>
  <si>
    <t>SSC: Chuyển dữ liệu đăng ký, lưu ký cổ phiếu SSC từ thị trường niêm yết HNX sang thị trường niêm yết HOSE</t>
  </si>
  <si>
    <t>VFG: Chuyển dữ liệu đăng ký, lưu ký cổ phiếu VFG từ thị trường niêm yết HNX sang thị trường niêm yết HOSE</t>
  </si>
  <si>
    <t>CAV: Chuyển dữ liệu đăng ký, lưu ký cổ phiếu CAV từ thị trường niêm yết HNX sang thị trường niêm yết HOSE như sau:</t>
  </si>
  <si>
    <t>DXS: Chuyển dữ liệu đăng ký, lưu ký cổ phiếu DXS từ thị trường niêm yết HNX sang thị trường niêm yết HOSE</t>
  </si>
  <si>
    <t>KHG: Chuyển dữ liệu đăng ký, lưu ký cổ phiếu KHG từ thị trường niêm yết HNX sang thị trường niêm yết HOSE</t>
  </si>
  <si>
    <t>THI: Chuyển dữ liệu đăng ký, lưu ký cổ phiếu THI từ thị trường niêm yết HNX sang thị trường niêm yết HOSE</t>
  </si>
  <si>
    <t>PAN: Chuyển dữ liệu đăng ký, lưu ký cổ phiếu PAN từ thị trường niêm yết HNX sang thị trường niêm yết HOSE</t>
  </si>
  <si>
    <t>LAF: Chuyển dữ liệu đăng ký, lưu ký cổ phiếu LAF từ thị trường niêm yết HNX sang thị trường niêm yết HOSE</t>
  </si>
  <si>
    <t>BBC: Chuyển dữ liệu đăng ký, lưu ký cổ phiếu BBC từ thị trường niêm yết HNX sang thị trường niêm yết HOSE</t>
  </si>
  <si>
    <t>ABT: Chuyển dữ liệu đăng ký, lưu ký cổ phiếu ABT từ thị trường niêm yết HNX sang thị trường niêm yết HOSE</t>
  </si>
  <si>
    <t>TTN: Chi trả cổ tức năm 2020 bằng tiền.</t>
  </si>
  <si>
    <t>XLV: Trả cổ tức năm 2020 bằng tiền</t>
  </si>
  <si>
    <t>SHT119008: Huỷ đợt thực hiện quyền mua lại trái phiếu trước hạn của Công ty cổ phần Tập đoàn Sông Hồng Thủ đô.</t>
  </si>
  <si>
    <t>SHT119009: Huỷ đợt thực hiện quyền mua lại trái phiếu trước hạn của Công ty cổ phần Tập đoàn Sông Hồng Thủ đô.</t>
  </si>
  <si>
    <t>BSI: Chuyển dữ liệu đăng ký, lưu ký cổ phiếu BSI từ thị trường niêm yết HNX sang thị trường niêm yết HOSE</t>
  </si>
  <si>
    <t>HAP: Chuyển dữ liệu đăng ký, lưu ký cổ phiếu HAP từ thị trường niêm yết HNX sang thị trường niêm yết HOSE</t>
  </si>
  <si>
    <t>VND: Chuyển dữ liệu đăng ký, lưu ký cổ phiếu VND từ thị trường niêm yết HNX sang thị trường niêm yết HOSE</t>
  </si>
  <si>
    <t>QBS: Chuyển dữ liệu đăng ký, lưu ký cổ phiếu QBS từ thị trường niêm yết HNX sang thị trường niêm yết HOSE</t>
  </si>
  <si>
    <t>TVB: Chuyển dữ liệu đăng ký, lưu ký cổ phiếu TVB từ thị trường niêm yết HNX sang thị trường niêm yết HOSE</t>
  </si>
  <si>
    <t>NSC: Chuyển dữ liệu đăng ký, lưu ký cổ phiếu NSC từ thị trường niêm yết HNX sang thị trường niêm yết HOSE</t>
  </si>
  <si>
    <t>RTB: Chi trả cổ tức còn lại năm 2020 bằng tiền</t>
  </si>
  <si>
    <t>GIC: Tạm ứng cổ tức đợt 1 năm 2021 bằng tiền</t>
  </si>
  <si>
    <t>SBH: Trả cổ tức đợt 2 năm 2020 bằng tiền</t>
  </si>
  <si>
    <t>VIH: Chi trả cổ tức năm 2020 bằng tiền</t>
  </si>
  <si>
    <t>VIX: Trả cổ tức năm 2020 bằng cổ phiếu và Thực hiện quyền mua cổ phiếu</t>
  </si>
  <si>
    <t>SRF: Trả cổ tức bằng cổ phiếu năm 2020</t>
  </si>
  <si>
    <t>HDW: Chi trả cổ tức năm 2020 bằng tiền</t>
  </si>
  <si>
    <t>DIH: Chi trả cổ tức năm 2020 bằng tiền</t>
  </si>
  <si>
    <t>GKM: Thực hiện quyền mua cổ phiếu phát hành cho cổ đông hiện hữu</t>
  </si>
  <si>
    <t>CRC: Trả cổ tức năm 2020 bằng tiền và thực hiện quyền mua cổ phiếu</t>
  </si>
  <si>
    <t>ACC: Chi trả cổ tức năm 2020 bằng tiền</t>
  </si>
  <si>
    <t>SIP: Phát hành cổ phiếu để tăng vốn cổ phần từ nguồn vốn chủ sở hữu</t>
  </si>
  <si>
    <t>IDV: Trả cổ tức năm 2020 bằng cổ phiếu và sử dụng cổ phiếu quỹ chia cho cổ  đông hiện hữu</t>
  </si>
  <si>
    <t>C47: Thực hiện quyền nhận cổ phiếu phát hành do thực hiện tăng vốn cổ phần từ nguồn vốn chủ sở hữu và chi trả cổ tức bằng cổ phiếu năm 2020.</t>
  </si>
  <si>
    <t>ADG: Về việc thanh toán cổ tức</t>
  </si>
  <si>
    <t>TCH: Chuyển quyền sở hữu 7.803.380 cổ phiếu</t>
  </si>
  <si>
    <t>GH3: Trả cổ tức năm 2020 bằng tiền</t>
  </si>
  <si>
    <t>GHC: Thực hiện quyền mua cổ phiếu</t>
  </si>
  <si>
    <t>PGD: Chi trả cổ tức năm 2020 bằng tiền</t>
  </si>
  <si>
    <t>HTC: Chi tạm ứng cổ tức bằng tiền đợt 1 năm 2021</t>
  </si>
  <si>
    <t>AAA: Nhận cổ phiếu phát hành do thực hiện tăng vốn cổ phần từ nguồn vốn chủ sở hữu và chi trả cổ tức năm 2020 bằng tiền</t>
  </si>
  <si>
    <t>TEG: Trả cổ tức năm 2020 bằng cổ phiếu và thực hiện quyền mua cổ phiếu</t>
  </si>
  <si>
    <t>INC: Chi trả cổ tức năm 2020 bằng tiền</t>
  </si>
  <si>
    <t>HPX: Trả cổ tức năm 2020 bằng cổ phiếu</t>
  </si>
  <si>
    <t>TBC: Trả cổ tức còn lại năm 2020 bằng tiền</t>
  </si>
  <si>
    <t>BDW: Chi trả cổ tức bằng tiền năm 2020</t>
  </si>
  <si>
    <t>TMG: Tạm ứng cổ tức bằng tiền năm 2021</t>
  </si>
  <si>
    <t>MWG: Chi trả cổ tức bằng tiền năm 2020 và chi trả cổ tức bằng cổ phiếu năm 2020</t>
  </si>
  <si>
    <t>CMV: Chi trả cổ tức năm 2020 bằng tiền</t>
  </si>
  <si>
    <t>UPC: Chi trả cổ tức năm 2020 bằng tiền</t>
  </si>
  <si>
    <t>IRC: Chi trả cổ tức năm 2020 bằng tiền</t>
  </si>
  <si>
    <t>V12: Chi trả cổ tức năm 2020 bằng tiền</t>
  </si>
  <si>
    <t>SHE: Trả cổ tức năm 2020 bằng cổ phiếu</t>
  </si>
  <si>
    <t>DGW: Chi trả cổ tức năm 2020 bằng tiền và nhận cổ phiếu phát hành do thực hiện tăng vốn cổ phần từ nguồn vốn chủ sở hữu</t>
  </si>
  <si>
    <t>GHC: Tạm ứng cổ tức đợt 1/2021: 25% bằng tiền</t>
  </si>
  <si>
    <t>FHS: Chi trả cổ tức năm 2020 bằng tiền</t>
  </si>
  <si>
    <t>SSI: Phát hành cổ phiếu để tăng vốn cổ phần từ nguồn vốn chủ sở hữu và thực hiện quyền mua cổ phiếu</t>
  </si>
  <si>
    <t>GEG: Trả cổ tức năm 2020 bằng tiền; Trả cổ tức năm 2020 bằng cổ phiếu và  Thực hiện quyền mua cổ phiếu phát hành thêm</t>
  </si>
  <si>
    <t>HSV: Thực hiện quyền mua cổ phiếu</t>
  </si>
  <si>
    <t>VNM: Tạm ứng cổ tức đợt 1 của năm 2021 bằng tiền</t>
  </si>
  <si>
    <t>BMJ: Chi trả cổ tức năm 2020 bằng tiền</t>
  </si>
  <si>
    <t>VFS: Thực hiện quyền mua cổ phiếu phát hành  cho cổ đông hiện hữu</t>
  </si>
  <si>
    <t>LHG: Chi trả cổ tức năm 2020 bằng tiền</t>
  </si>
  <si>
    <t>PSN: Chi trả cổ tức bằng tiền năm 2020</t>
  </si>
  <si>
    <t>BSI: Trả cổ tức năm tài chính 2020 bằng tiền</t>
  </si>
  <si>
    <t>NKG: Trả cổ tức bằng cổ phiếu năm 2020 và nhận cổ phiếu phát hành do thực hiện tăng vốn cổ phần từ nguồn vốn chủ sở hữu:</t>
  </si>
  <si>
    <t>BMI: Phát hành cổ phiếu để tăng vốn cổ phần từ nguồn vốn chủ sở hữu</t>
  </si>
  <si>
    <t>TPC: Chi trả cổ tức năm 2020 bằng tiền</t>
  </si>
  <si>
    <t>TVC: Tạm ứng cổ tức bằng tiền lần 1 năm 2021</t>
  </si>
  <si>
    <t>XMP: Chuyển dữ liệu đăng ký, lưu ký chứng khoán XMP từ thị trường niêm yết HNX sang thị trường đăng ký giao dịch Upcom</t>
  </si>
  <si>
    <t>VRG: Trả cổ tức năm 2020 bằng tiền</t>
  </si>
  <si>
    <t>SHS: Trả cổ tức năm 2020 bằng tiền; Nhận cổ phiếu phát hành do thực hiện tăng vốn cổ phần từ nguồn vốn chủ sở hữu và Thực hiện quyền mua cổ phiếu phát hành thêm</t>
  </si>
  <si>
    <t>VTB: Chi trả cổ tức còn lại năm 2020 và tạm ứng cổ tức năm 2021 bằng tiền</t>
  </si>
  <si>
    <t>CDR: Chi trả cổ tức bằng tiền năm 2020</t>
  </si>
  <si>
    <t>DRL: Chi trả tạm ứng cổ tức đợt 2 năm 2021 bằng tiền</t>
  </si>
  <si>
    <t>DNC: Tạm ứng cổ tức đợt 1 năm 2021 bằng tiền</t>
  </si>
  <si>
    <t>TSJ: Chi trả cổ tức năm 2020 bằng tiền</t>
  </si>
  <si>
    <t>BSQ: Chi cổ tức năm 2020 bằng tiền</t>
  </si>
  <si>
    <t>GMC: Phát hành cổ phiếu để trả cổ tức năm 2020</t>
  </si>
  <si>
    <t>TDB: Tạm ứng cổ tức đợt 2 năm 2021 bằng tiền</t>
  </si>
  <si>
    <t>THU: Chi trả cổ tức năm 2020 bằng tiền</t>
  </si>
  <si>
    <t>HKC: Chi trả cổ tức năm 2020 bằng tiền mặt</t>
  </si>
  <si>
    <t>QNS: Tạm ứng cổ tức đợt 1 năm 2021 bằng tiền</t>
  </si>
  <si>
    <t>PRE: Chi trả cổ tức còn lại năm 2020 bằng tiền</t>
  </si>
  <si>
    <t>GVR: Chi trả cổ tức năm 2020 bằng tiền</t>
  </si>
  <si>
    <t>GIL: Chi trả cổ tức năm 2020 bằng cổ phiếu</t>
  </si>
  <si>
    <t>FT1: Chi trả cổ tức năm 2020 bằng tiền</t>
  </si>
  <si>
    <t>DNN: Tạm ứng cổ tức đợt 1 năm 2021 bằng tiền</t>
  </si>
  <si>
    <t>PHP: Chi trả cổ tức năm 2020 bằng tiền</t>
  </si>
  <si>
    <t>SZC: Chi trả cổ tức năm 2020 bằng tiền</t>
  </si>
  <si>
    <t>CII42013: Chuyển dữ liệu đăng ký, lưu ký trái phiếu CII42013 từ thị trường niêm yết HOSE sang thị trường Đại chúng chưa niêm yết</t>
  </si>
  <si>
    <t>MQN: Trả cổ tức năm 2020 bằng cổ phiếu</t>
  </si>
  <si>
    <t>CKV: Trả cổ tức năm 2020 bằng tiền</t>
  </si>
  <si>
    <t>VIC: Trả cổ tức năm 2020 bằng cổ phiếu</t>
  </si>
  <si>
    <t>KSV: Trả cổ tức năm 2020 bằng tiền</t>
  </si>
  <si>
    <t>DFC: Trả cổ tức năm 2020 bằng tiền</t>
  </si>
  <si>
    <t>D2D: Chi tạm ứng cổ tức năm 2021 bằng tiền</t>
  </si>
  <si>
    <t>VFG: Chi tạm ứng cổ tức đợt 1 bằng tiền mặt năm 2021</t>
  </si>
  <si>
    <t>CKD: Trả cổ tức năm 2020 bằng tiền</t>
  </si>
  <si>
    <t>GMD: Chi trả cổ tức năm 2020 bằng tiền</t>
  </si>
  <si>
    <t>SPH: Trả phần cổ tức còn lại của năm 2020 bằng tiền</t>
  </si>
  <si>
    <t>KDC: Chi trả đợt 2 cổ tức năm 2020 bằng tiền mặt và tổ chức Đại hội cổ đông bất thường 2021</t>
  </si>
  <si>
    <t>TQW: Chi trả cổ tức năm 2020 bằng tiền</t>
  </si>
  <si>
    <t>FPT: Tạm ứng cổ tức đợt 1 năm 2021 bằng tiền</t>
  </si>
  <si>
    <t>VE2: Trả cổ tức năm 2020 bằng tiền</t>
  </si>
  <si>
    <t>PHS: Chi trả cổ tức năm 2020 bằng tiền</t>
  </si>
  <si>
    <t>BBC: Trả cổ tức năm 2020 bằng tiền</t>
  </si>
  <si>
    <t>TID: Chi trả cổ tức năm 2020 bằng tiền</t>
  </si>
  <si>
    <t>VTK: Trả cổ tức năm 2020 bằng tiền và trả cổ tức năm 2020 bằng cổ phiếu</t>
  </si>
  <si>
    <t>HDB: Trả cổ tức bằng cổ phiếu năm 2020</t>
  </si>
  <si>
    <t>HGM: Tạm ứng cổ tức đợt 1 năm 2021 bằng tiền</t>
  </si>
  <si>
    <t>XDH: Trả cổ tức năm 2020 bằng tiền</t>
  </si>
  <si>
    <t>ADG: Trả cổ tức năm 2020 bằng tiền và Trả cổ tức năm 2020 bằng cổ phiếu</t>
  </si>
  <si>
    <t>CEN: Thực hiện quyền mua cổ phiếu phát hành cho cổ đông hiện hữu</t>
  </si>
  <si>
    <t>BAB: Trả cổ tức năm 2020 bằng cổ phiếu</t>
  </si>
  <si>
    <t>DP1: Chi trả cổ tức năm 2020 bằng tiền</t>
  </si>
  <si>
    <t>CQN: Chi trả cổ tức bằng tiền năm 2020</t>
  </si>
  <si>
    <t>DOP: Thay đổi ngày thanh toán cổ tức</t>
  </si>
  <si>
    <t>NBP: Chi trả cổ tức bằng tiền năm 2020</t>
  </si>
  <si>
    <t>MRF: Chi trả cổ tức năm 2020 bằng tiền</t>
  </si>
  <si>
    <t>VPD: Trả cổ tức còn lại năm 2020 bằng tiền</t>
  </si>
  <si>
    <t>HDA: Trả cổ tức năm 2020 bằng tiền</t>
  </si>
  <si>
    <t>VXP: Chi trả cổ tức năm 2020 bằng tiền</t>
  </si>
  <si>
    <t>DVP: Trả cổ tức đợt 2 năm 2020 bằng tiền</t>
  </si>
  <si>
    <t>CMX: Thực hiện quyền mua cổ phiếu phát hành thêm</t>
  </si>
  <si>
    <t>DTC: Trả cổ tức năm 2020 bằng tiền</t>
  </si>
  <si>
    <t>SUM: Chi trả cổ tức năm 2020 bằng tiền</t>
  </si>
  <si>
    <t>SEB: Tạm ứng cổ tức lần 02 năm 2021</t>
  </si>
  <si>
    <t>PSW: Nhận cổ tức năm 2020</t>
  </si>
  <si>
    <t>MDG: Chi trả cổ tức còn lại năm 2020 và tạm ứng cổ tức năm 2021 bằng tiền.</t>
  </si>
  <si>
    <t>VLB: Trả cổ tức năm 2020 bằng tiền</t>
  </si>
  <si>
    <t>ND2: Chi trả cổ tức cho năm tài chính 2020 bằng tiền</t>
  </si>
  <si>
    <t>TTA: Trả cổ tức năm 2020 bằng cổ phiếu</t>
  </si>
  <si>
    <t>EIC: Trả cổ tức năm 2020 bằng tiền</t>
  </si>
  <si>
    <t>OCB: Trả cổ tức năm 2020 bằng cổ phiếu cho cổ đông hiện hữu</t>
  </si>
  <si>
    <t>BIC: Trả cổ tức năm 2020 bằng tiền</t>
  </si>
  <si>
    <t>HTI: Thay đổi ngày chi trả cổ tức bằng tiền năm 2020</t>
  </si>
  <si>
    <t>NJC: Trả cổ tức năm 2020 bằng tiền</t>
  </si>
  <si>
    <t>HVX: Trả cổ tức năm 2020 bằng tiền mặt</t>
  </si>
  <si>
    <t>HVN: Thực hiện quyền mua cổ phiếu</t>
  </si>
  <si>
    <t>NVP: Chi trả cổ tức lũy kế đến 31/12/2020 bằng tiền lần 1</t>
  </si>
  <si>
    <t>NSL: Tạm ứng cổ tức đợt 1 năm 2021 bằng tiền</t>
  </si>
  <si>
    <t>QLT: Chi trả cổ tức năm 2020 bằng tiền</t>
  </si>
  <si>
    <t>BMD: Thực hiện chi trả cổ tức năm 2020 bằng tiền mặt</t>
  </si>
  <si>
    <t>AGP: Chi trả cổ tức năm 2020 bằng tiền</t>
  </si>
  <si>
    <t>SSU: Chi trả cổ tức năm 2020 bằng tiền</t>
  </si>
  <si>
    <t>SKN: Về việc không chuyển tiền thanh toán cổ tức</t>
  </si>
  <si>
    <t>VIP: Trả cổ tức năm 2020 bằng tiền</t>
  </si>
  <si>
    <t>DPR: Chi trả cổ tức phần còn lại của năm 2020 bằng tiền mặt</t>
  </si>
  <si>
    <t>SZB: Chi trả cổ tức 2020 bằng tiền</t>
  </si>
  <si>
    <t>DNA: Chi trả cổ tức năm 2020 bằng tiền</t>
  </si>
  <si>
    <t>BMS: Trả cổ tức bằng cổ phiếu 14% (Trong đó: Tỷ lệ trả cổ tức bằng cổ phiếu năm 2018 là 5% và tỷ lệ trả cổ tức bằng cổ phiếu năm 2019 là 9%)</t>
  </si>
  <si>
    <t>CMN: Tạm ứng cổ tức năm 2020 bằng tiền</t>
  </si>
  <si>
    <t>DHC: Chi trả cổ tức đợt cuối năm 2020 bằng tiền, tạm ứng cổ tức năm 2021 bằng tiền và trả cổ tức năm 2020 bằng cổ phiếu.</t>
  </si>
  <si>
    <t>APS: Thực hiện quyền mua cổ phiếu</t>
  </si>
  <si>
    <t>NDN: Trả cổ tức năm 2020 bằng tiền và trả cổ tức năm 2020 bằng cổ phiếu</t>
  </si>
  <si>
    <t>HLR: Chi trả cổ tức năm 2020 bằng tiền</t>
  </si>
  <si>
    <t>NTW: Chi trả cổ tức năm 2020 bằng tiền</t>
  </si>
  <si>
    <t>SLD: Thực hiện quyền mua cổ phiếu</t>
  </si>
  <si>
    <t>TLG: Chi tạm ứng cổ tức đợt 1 năm 2021 bằng tiền</t>
  </si>
  <si>
    <t>GMX: Chi trả cổ tức đợt 2 năm 2020 bằng cổ phiếu và Phát hành cổ phiếu để tăng vốn cổ phần từ nguồn vốn chủ sở hữu</t>
  </si>
  <si>
    <t>PAC: Chi trả cổ tức bằng tiền đợt 2 năm 2020 (đợt cuối).</t>
  </si>
  <si>
    <t>PGV: Trả cổ tức năm 2020 bằng tiền và cổ phiếu</t>
  </si>
  <si>
    <t>VCC: Trả cổ tức năm 2020 bằng tiền.</t>
  </si>
  <si>
    <t>ADC: Phát hành cổ phiếu do tăng vốn từ nguồn vốn chủ sở hữu</t>
  </si>
  <si>
    <t>DAN: Chi trả cổ tức năm 2020 bằng tiền</t>
  </si>
  <si>
    <t>PJT: Nhận cổ tức năm 2020 bằng tiền và thực hiện quyền mua cổ phiếu cho cổ đông hiện hữu</t>
  </si>
  <si>
    <t>PMB: Trả cổ tức năm 2020 bằng tiền</t>
  </si>
  <si>
    <t>KHG: Thông báo về việc thực hiện chuyển dữ liệu đăng ký, lưu ký cổ phiếu KHG từ thị trường niêm yết HOSE sang thị trường niêm yết HNX</t>
  </si>
  <si>
    <t>NAU: Chi trả cổ tức năm 2020 bằng tiền mặt</t>
  </si>
  <si>
    <t>XHC: Chi tạm ứng cổ tức năm 2021 bằng tiền và lấy ý kiến cổ đông bằng văn bản</t>
  </si>
  <si>
    <t>HCD: Thay đổi ngày thanh toán cổ tức</t>
  </si>
  <si>
    <t>VLP: Chi trả cổ tức năm 2020 bằng tiền</t>
  </si>
  <si>
    <t>PNP: Chi trả cổ tức bằng tiền năm tài chính 2020</t>
  </si>
  <si>
    <t>TLT: Chi trả cổ tức năm 2020 bằng tiền</t>
  </si>
  <si>
    <t>SSB: Trả cổ tức năm 2020 bằng cổ phiếu</t>
  </si>
  <si>
    <t>LPB: Trả cổ tức năm 2020 bằng cổ phiếu</t>
  </si>
  <si>
    <t>HLB: Trả cổ tức năm 2020 bằng tiền</t>
  </si>
  <si>
    <t>DS3: Chi trả cổ tức năm 2020 bằng tiền</t>
  </si>
  <si>
    <t>MFS: Trả cổ tức năm 2020 bằng tiền</t>
  </si>
  <si>
    <t>LKW: Chi trả cổ tức năm 2020 bằng tiền</t>
  </si>
  <si>
    <t>TVC: Thực hiện quyền mua cổ phiếu cho cổ đông hiện hữu</t>
  </si>
  <si>
    <t>SAL: Chi trả cổ tức năm 2020 bằng tiền</t>
  </si>
  <si>
    <t>ICN: Trả cổ tức bằng cổ phiếu năm 2020</t>
  </si>
  <si>
    <t>DNE: Chi trả cổ tức năm 2020 bằng tiền</t>
  </si>
  <si>
    <t>PAP: Thông báo về việc thực hiện chuyển dữ liệu đăng ký, lưu ký cổ phiếu PAP từ thị trường Đại chúng chưa niêm yết sang thị trường UPCOM</t>
  </si>
  <si>
    <t>MBG: Chi trả cổ tức năm 2019 bằng cổ phiếu</t>
  </si>
  <si>
    <t>BLT: Chi trả cổ tức bằng tiền năm 2020</t>
  </si>
  <si>
    <t>DDH: Chi trả cổ tức năm 2020 bằng tiền</t>
  </si>
  <si>
    <t>DC2: Chi trả cổ tức năm 2020 bằng tiền và bằng cổ phiếu</t>
  </si>
  <si>
    <t>DXS: Thông báo về việc thực hiện chuyển dữ liệu đăng ký, lưu ký cổ phiếu DXS từ thị trường niêm yết HOSE sang thị trường niêm yết HNX</t>
  </si>
  <si>
    <t>SKH: Chi trả cổ tức năm 2020 bằng tiền mặt</t>
  </si>
  <si>
    <t>HPT: Thay đổi ngày tổ chức đại hội đồng cổ đông thường niên năm 2021 và thay đổi ngày thanh toán cổ tức</t>
  </si>
  <si>
    <t>TDP: Trả cổ tức bằng cổ phiếu năm 2020</t>
  </si>
  <si>
    <t>VEA: Chi trả cổ tức năm 2020 bằng tiền</t>
  </si>
  <si>
    <t>IDP: Tạm ứng cổ tức năm 2021 bằng tiền</t>
  </si>
  <si>
    <t>TN1: Trả cổ tức năm 2020 bằng tiền và trả cổ tức năm 2020 bằng cổ phiếu</t>
  </si>
  <si>
    <t>BRR: Chi trả cổ tức còn lại năm 2020 bằng tiền mặt</t>
  </si>
  <si>
    <t>TAR: Trả cổ tức năm 2020 bằng cổ phiếu</t>
  </si>
  <si>
    <t>EVF: Trả cổ tức năm 2018, 2019 bằng cổ phiếu</t>
  </si>
  <si>
    <t>DNH: Chi trả cổ tức năm 2020 đợt cuối bằng tiền</t>
  </si>
  <si>
    <t>SVC: Chi trả cổ tức năm 2020 bằng tiền</t>
  </si>
  <si>
    <t>TDC: Chi trả cổ tức năm 2020 bằng tiền</t>
  </si>
  <si>
    <t>DTT: Thay đổi ngày thanh toán cổ tức</t>
  </si>
  <si>
    <t>BRC: Chi trả cổ tức năm 2020 bằng tiền</t>
  </si>
  <si>
    <t>ELC: Chi trả cổ tức năm 2020 và tạm ứng cổ tức năm 2021 bằng tiền mặt</t>
  </si>
  <si>
    <t>MDF: Trả cổ tức năm 2020 bằng tiền mặt</t>
  </si>
  <si>
    <t>CHP: Trả cổ tức năm 2020 bằng tiền</t>
  </si>
  <si>
    <t>SBH: Trả cổ tức đợt 1 năm 2020 bằng tiền</t>
  </si>
  <si>
    <t>DTD: Chi trả cổ tức còn lại năm 2020 bằng tiền</t>
  </si>
  <si>
    <t>IST: Chi trả cổ tức bằng tiền đợt 1 năm 2020</t>
  </si>
  <si>
    <t>SIP: Chi trả cổ tức còn lại năm 2020 bằng tiền</t>
  </si>
  <si>
    <t>BCF: Trả cổ tức bằng cổ phiếu năm 2020</t>
  </si>
  <si>
    <t>PDN: Trả cổ tức đợt 2 (đợt cuối) năm 2020 bằng tiền</t>
  </si>
  <si>
    <t>HWS: Chi trả cổ tức năm 2020 bằng tiền</t>
  </si>
  <si>
    <t>CSV: Chi trả cổ tức năm 2020 còn lại - đợt 2 bằng tiền</t>
  </si>
  <si>
    <t>VLW: Chi trả cổ tức năm 2020</t>
  </si>
  <si>
    <t>TV2: Trả cổ tức năm 2020 bằng tiền và trả cổ tức năm 2020 bằng cổ phiếu</t>
  </si>
  <si>
    <t>PSL: Chi cổ tức còn lại bằng tiền năm 2020</t>
  </si>
  <si>
    <t>POT: Trả cổ tức năm 2020 bằng tiền mặt</t>
  </si>
  <si>
    <t>DPG: Trả cổ tức năm 2020 bằng tiền và nhận cổ phiếu phát hành do thực hiện tăng vốn cổ phần từ nguồn vốn chủ sở hữu</t>
  </si>
  <si>
    <t>HAD: Trả cổ tức năm 2020 bằng tiền</t>
  </si>
  <si>
    <t>VC3: Chi trả cổ tức năm 2018, 2019 bằng cổ phiếu</t>
  </si>
  <si>
    <t>NSS: Chi trả cổ tức còn lại năm 2020 bằng tiền</t>
  </si>
  <si>
    <t>VNR: Phát hành cổ phiếu cho cổ đông hiện hữu để tăng vốn cổ phần từ nguồn vốn chủ sở hữu</t>
  </si>
  <si>
    <t>NAP: Trả cổ tức năm 2020 bằng tiền</t>
  </si>
  <si>
    <t>BBH: Chi trả cổ tức bằng tiền năm 2020</t>
  </si>
  <si>
    <t>NBT: Chi trả cổ tức đợt cuối năm 2020 bằng tiền</t>
  </si>
  <si>
    <t>DOP: Trả cổ tức năm 2020 bằng tiền</t>
  </si>
  <si>
    <t>PME: Trả cổ tức năm 2020 bằng tiền</t>
  </si>
  <si>
    <t>TCL: Chi trả cổ tức năm 2020 bằng tiền</t>
  </si>
  <si>
    <t>NCT: Tạm ứng cổ tức lần 1 năm 2021 bằng tiền</t>
  </si>
  <si>
    <t>MTB: Chi trả cổ tức năm 2020 bằng tiền</t>
  </si>
  <si>
    <t>SHI: Trả cổ tức năm 2020 bằng cổ phiếu</t>
  </si>
  <si>
    <t>STK: Trả cổ tức năm 2020 bằng tiền</t>
  </si>
  <si>
    <t>MBB: Trả cổ tức bằng cổ phiếu từ lợi nhuận sau thuế để lại lũy kế của năm 2020</t>
  </si>
  <si>
    <t>PCE: Chi trả cổ tức năm 2020 bằng tiền</t>
  </si>
  <si>
    <t>VAF: Trả cổ tức năm 2020 bằng tiền</t>
  </si>
  <si>
    <t>PDV: Trả cổ tức năm 2020 bằng cổ phiếu</t>
  </si>
  <si>
    <t>BWS: Tạm ứng cổ tức bằng tiền đợt 1 năm 2021</t>
  </si>
  <si>
    <t>BCE: Trả cổ tức năm 2020 bằng tiền</t>
  </si>
  <si>
    <t>LBC: Trả cổ tức năm 2020 bằng tiền mặt</t>
  </si>
  <si>
    <t>VIC: Chuyển quyền sở hữu 57.607.183 cổ phiếu</t>
  </si>
  <si>
    <t>L14: Nhận cổ tức bằng cổ phiếu năm 2020</t>
  </si>
  <si>
    <t>TIG: Trả cổ tức năm 2020 bằng cổ phiếu</t>
  </si>
  <si>
    <t>HVT: Chi trả cổ tức còn lại năm 2020 bằng tiền</t>
  </si>
  <si>
    <t>SGN: Chi trả cổ tức đợt 1 năm 2020 bằng tiền</t>
  </si>
  <si>
    <t>TCW: Chi trả cổ tức năm 2020 bằng tiền mặt</t>
  </si>
  <si>
    <t>DGT: Thay đổi ngày thanh toán cổ tức lần 10</t>
  </si>
  <si>
    <t>BCM: Tạm ứng cổ tức bằng tiền năm 2020 và lấy ý kiến cổ đông bằng văn bản năm 2021</t>
  </si>
  <si>
    <t>DTD: Nhận cổ phiếu phát hành do thực hiện tăng vốn cổ phần từ nguồn vốn chủ sở hữu</t>
  </si>
  <si>
    <t>PMW: Thanh toán cổ tức đợt cuối năm 2020 và tạm ứng cổ tức đợt 1 năm 2021 bằng tiền</t>
  </si>
  <si>
    <t>SD9: Thay đổi ngày thanh toán cổ tức</t>
  </si>
  <si>
    <t>X20: Trả cổ tức năm 2020 bằng tiền</t>
  </si>
  <si>
    <t>ACM: Thay đổi ngày thanh toán cổ tức</t>
  </si>
  <si>
    <t>SD4: Thay đổi ngày thanh toán cổ tức</t>
  </si>
  <si>
    <t>PPC: Trả cổ tức lần 4 năm 2020 bằng tiền mặt</t>
  </si>
  <si>
    <t>FBC: Chi trả cổ tức năm 2020 bằng tiền</t>
  </si>
  <si>
    <t>SKV: Chi trả cổ tức năm tài chính 2020 bằng tiền</t>
  </si>
  <si>
    <t>BDG: Chi cổ tức đợt 2 của năm 2020 bằng tiền</t>
  </si>
  <si>
    <t>ASG: Trả cổ tức năm 2020 bằng cổ phiếu</t>
  </si>
  <si>
    <t>VDS: Trả cổ tức năm 2020 bằng cổ phiếu</t>
  </si>
  <si>
    <t>TAW: Trả cổ tức năm 2020 bằng tiền</t>
  </si>
  <si>
    <t>PFL: Thay đổi ngày thanh toán cổ tức</t>
  </si>
  <si>
    <t>HKB: Thông báo chuyển dữ liệu đăng ký, lưu ký cổ phiếu HKB từ thị trường niêm yết tại Sở Giao dịch Chứng khoán Hà Nội (HNX) sang thị trường đăng ký giao dịch tại Sở Giao dịch Chứng khoán Hà Nội (UPCOM)</t>
  </si>
  <si>
    <t>AAV: Trả cổ tức bằng cổ phiếu năm 2020</t>
  </si>
  <si>
    <t>CTG: Phát hành cổ phiếu để trả cổ tức</t>
  </si>
  <si>
    <t>A32: Chi trả cổ tức còn lại năm 2020 bằng tiền</t>
  </si>
  <si>
    <t>HLC: Trả cổ tức năm 2020 bằng tiền</t>
  </si>
  <si>
    <t>MTH: Chi trả cổ tức bằng tiền năm 2020</t>
  </si>
  <si>
    <t>SCG: Thực hiện quyền mua cổ phiếu phát hành cho cổ đông hiện hữu</t>
  </si>
  <si>
    <t>VCG: Chia cổ phiếu quỹ cho cổ đông hiện hữu</t>
  </si>
  <si>
    <t>C22: Chi trả cổ tức năm 2020 bằng tiền</t>
  </si>
  <si>
    <t>SKN: Chi trả cổ tức năm 2020 bằng tiền mặt</t>
  </si>
  <si>
    <t>DC4: Trả cổ tức năm 2020 bằng cổ phiếu</t>
  </si>
  <si>
    <t>IJC: Chi trả cổ tức năm 2020 bằng tiền</t>
  </si>
  <si>
    <t>THG: Chi trả cổ tức đợt cuối năm 2020 bằng tiền và trả cổ tức bằng cổ phiếu năm 2020</t>
  </si>
  <si>
    <t>PJS: Trả cổ tức năm 2020 bằng tiền</t>
  </si>
  <si>
    <t>TAP: Chi trả cổ tức năm 2020 bằng tiền</t>
  </si>
  <si>
    <t>DPM: Chi trả cổ tức bằng tiền đợt cuối năm 2020</t>
  </si>
  <si>
    <t>CAN: Chi trả cổ tức năm 2020 bằng tiền</t>
  </si>
  <si>
    <t>TVM: Trả cổ tức năm 2020 bằng tiền</t>
  </si>
  <si>
    <t>VW3: Trả cổ tức năm 2020 bằng tiền</t>
  </si>
  <si>
    <t>NED: Tạm ứng cổ tức bằng tiền năm 2021</t>
  </si>
  <si>
    <t>CKG: Chi trả cổ tức năm 2020 bằng tiền</t>
  </si>
  <si>
    <t>DSS: Chi trả cổ tức năm 2020 bằng tiền</t>
  </si>
  <si>
    <t>MCF: Chia cổ tức năm 2020 bằng tiền mặt</t>
  </si>
  <si>
    <t>PMP: Trả cổ tức năm 2020 bằng tiền</t>
  </si>
  <si>
    <t>DRI: Chi trả cổ tức năm 2020 bằng tiền</t>
  </si>
  <si>
    <t>DOC: Chi trả cổ tức năm 2020 bằng tiền</t>
  </si>
  <si>
    <t>PBP: Chi trả cổ tức bằng tiền năm 2020</t>
  </si>
  <si>
    <t>TCD: Trả cổ tức năm 2020 bằng tiền mặt và cổ phiếu</t>
  </si>
  <si>
    <t>VID: Chi trả cổ tức năm tài chính 2020 bằng cổ phiếu</t>
  </si>
  <si>
    <t>MSN: Tạm ứng cổ tức đợt 1 năm 2021 bằng tiền</t>
  </si>
  <si>
    <t>KSB: Chi trả cổ tức năm 2020 bằng cổ phiếu</t>
  </si>
  <si>
    <t>VC2: Thay đổi ngày thanh toán cổ tức</t>
  </si>
  <si>
    <t>MLC: Chi trả cổ tức năm 2020 bằng tiền mặt</t>
  </si>
  <si>
    <t>HTI: Trả cổ tức đợt 2 năm 2020 bằng tiền</t>
  </si>
  <si>
    <t>VPG: Trả cổ năm 2020 bằng cổ phiếu</t>
  </si>
  <si>
    <t>V15: Thay đổi ngày thanh toán cổ tức</t>
  </si>
  <si>
    <t>TDF: Chi trả cổ tức năm 2020 bằng tiền</t>
  </si>
  <si>
    <t>VNR: Chi trả cổ tức bằng tiền năm 2020</t>
  </si>
  <si>
    <t>TVA: Chi trả cổ tức năm 2020 bằng tiền</t>
  </si>
  <si>
    <t>DCM: Chi trả cổ tức năm 2020 bằng tiền</t>
  </si>
  <si>
    <t>SFG: Chi trả cổ tức năm 2020 bằng tiền</t>
  </si>
  <si>
    <t>VSA: Chi trả cổ tức năm 2019 và năm 2020 bằng tiền</t>
  </si>
  <si>
    <t>SCS: Trả cổ tức còn lại của năm 2020 bằng tiền mặt cho cổ đông hiện hữu</t>
  </si>
  <si>
    <t>THT: Trả cổ tức năm 2020 bằng tiền</t>
  </si>
  <si>
    <t>CSC: Trả cổ tức bằng cổ phiếu năm 2020</t>
  </si>
  <si>
    <t>MDC: Chi trả cổ tức năm 2020 bằng tiền cho cổ đông</t>
  </si>
  <si>
    <t>TW3: Chi trả cổ tức bằng tiền năm 2020</t>
  </si>
  <si>
    <t>L62: Chi trả cổ tức năm 2019 bằng tiền cho cổ đông hiện hữu</t>
  </si>
  <si>
    <t>VMS: Chi cổ tức năm 2019 bằng tiền</t>
  </si>
  <si>
    <t>QNT: Thay đổi thời gian thực hiện quyền mua cổ phiếu</t>
  </si>
  <si>
    <t>TV3: Chi trả cổ tức năm 2020 bằng tiền</t>
  </si>
  <si>
    <t>PTI: Trả cổ tức năm 2020 bằng tiền</t>
  </si>
  <si>
    <t>CDN: Trả cổ tức năm 2020 bằng tiền</t>
  </si>
  <si>
    <t>WTC: Thay đổi ngày thanh toán cổ tức</t>
  </si>
  <si>
    <t>MIG: Chi trả cổ tức năm tài chính 2020 bằng cổ phiếu</t>
  </si>
  <si>
    <t>DSV: Chia cổ tức năm 2020 bằng tiền mặt</t>
  </si>
  <si>
    <t>HSP: Trả cổ tức năm 2020 bằng tiền</t>
  </si>
  <si>
    <t>CTR: Trả cổ tức năm 2020 bằng tiền và Phát hành cổ phiếu do thực hiện tăng vốn từ nguồn vốn chủ sở hữu</t>
  </si>
  <si>
    <t>XMP: Trả cổ tức năm 2020 bằng tiền</t>
  </si>
  <si>
    <t>PKR: Chi trả cổ tức bằng tiền năm 2020</t>
  </si>
  <si>
    <t>GAS: Chi trả cổ tức năm 2020 bằng tiền mặt</t>
  </si>
  <si>
    <t>THN: Chi trả cổ tức năm 2020 bằng tiền</t>
  </si>
  <si>
    <t>NSC: Chi trả cổ tức bằng tiền đợt 1 năm 2020</t>
  </si>
  <si>
    <t>HTR: Trả cổ tức năm 2020 bằng tiền</t>
  </si>
  <si>
    <t>BCG: Trả cổ tức năm 2020 bằng tiền mặt và cổ phiếu</t>
  </si>
  <si>
    <t>DLT: Chi trả cổ tức năm 2020 bằng tiền</t>
  </si>
  <si>
    <t>HDC: Trả cổ tức năm 2020 bằng cổ phiếu</t>
  </si>
  <si>
    <t>CAG: Chi trả cổ tức bằng tiền năm 2020</t>
  </si>
  <si>
    <t>ILB: Chi trả cổ tức năm 2020 bằng tiền mặt</t>
  </si>
  <si>
    <t>APG: Trả cổ tức năm 2020 bằng cổ phiếu và thực hiện quyền mua cổ phiếu</t>
  </si>
  <si>
    <t>ADS: Trả cổ tức năm 2020 bằng tiền</t>
  </si>
  <si>
    <t>CT5: Chi trả cổ tức năm 2020 bằng tiền</t>
  </si>
  <si>
    <t>SCL: Trả cổ tức năm 2020 bằng tiền</t>
  </si>
  <si>
    <t>NBR: Chi trả cổ tức năm 2020 bằng tiền</t>
  </si>
  <si>
    <t>HAS: Trả cổ tức năm 2020 bằng tiền</t>
  </si>
  <si>
    <t>VTP: Chi trả cổ tức năm 2020 bằng tiền và chi trả cổ tức năm 2020 bằng cổ phiếu</t>
  </si>
  <si>
    <t>NBB: Chi trả cổ tức đợt 1 năm 2020 bằng tiền</t>
  </si>
  <si>
    <t>CAV: Chi trả cổ tức còn lại năm 2020 bằng tiền</t>
  </si>
  <si>
    <t>SSC: Thanh toán cổ tức năm 2020 bằng tiền</t>
  </si>
  <si>
    <t>LDW: Chi trả cổ tức năm 2020 bằng tiền</t>
  </si>
  <si>
    <t>S12: Thay đổi ngày thanh toán cổ tức</t>
  </si>
  <si>
    <t>AMC: Thanh toán cổ tức năm 2020 cho các cổ đông bằng tiền mặt</t>
  </si>
  <si>
    <t>SFI: Chi trả cổ tức bằng tiền còn lại năm 2020 là 5% và Tạm ứng cổ tức bằng tiền năm 2021 là 10%</t>
  </si>
  <si>
    <t>LM8: Chi trả cổ tức năm 2020 bằng tiền</t>
  </si>
  <si>
    <t>VCI: Phát hành cổ phiếu để tăng vốn cổ phần từ nguồn vốn chủ sở hữu</t>
  </si>
  <si>
    <t>HND: Thanh toán cổ tức còn lại năm 2020 bằng tiền</t>
  </si>
  <si>
    <t>PTO: Chốt danh sách thực hiện chi trả cổ tức năm 2020 bằng tiền</t>
  </si>
  <si>
    <t>FOX: Trả cổ tức năm 2020 bằng cổ phiếu</t>
  </si>
  <si>
    <t>NLS: Chi trả cổ tức bằng tiền đợt 1 năm 2020</t>
  </si>
  <si>
    <t>NCT: Tạm ứng cổ tức lần 3 năm 2020 bằng tiền</t>
  </si>
  <si>
    <t>TDA: Trả cổ tức bằng tiền mặt năm 2020</t>
  </si>
  <si>
    <t>NBC: Trả cổ tức năm 2020 bằng tiền</t>
  </si>
  <si>
    <t>VPS: Chi trả cổ tức năm 2020 bằng tiền</t>
  </si>
  <si>
    <t>TSG: Chi trả cổ tức bằng tiền năm 2020</t>
  </si>
  <si>
    <t>HAP: Thông báo về việc thực hiện chuyển dữ liệu đăng ký, lưu ký cổ phiếu HAP từ thị trường niêm yết HOSE sang thị trường niêm yết HNX</t>
  </si>
  <si>
    <t>VCS: Tạm ứng cổ tức năm 2021 bằng tiền</t>
  </si>
  <si>
    <t>APF: Trả cổ tức năm 2020 bằng cổ phiếu</t>
  </si>
  <si>
    <t>HSG: Trả cổ tức bằng cổ phiếu của niên độ tài chính 2019 - 2020</t>
  </si>
  <si>
    <t>CSM: Trả cổ tức năm 2020 bằng tiền</t>
  </si>
  <si>
    <t>LIX: Trả cổ tức đợt cuối năm 2020 bằng tiền mặt</t>
  </si>
  <si>
    <t>SDG: Chi trả cổ tức năm 2020 bằng tiền</t>
  </si>
  <si>
    <t>NHP: Thông báo thực hiện chuyển dữ liệu đăng ký, lưu ký cổ phiếu NHP từ thị trường HNX sang thị trường UPCOM</t>
  </si>
  <si>
    <t>UMC: Chi trả cổ tức bằng tiền năm 2020</t>
  </si>
  <si>
    <t>HUB: Trả cổ tức năm 2020 bằng tiền</t>
  </si>
  <si>
    <t>TVB: Tạm ứng cổ tức đợt 1 năm 2021 bằng tiền</t>
  </si>
  <si>
    <t>DTK: Chi trả cổ tức năm 2020 bằng tiền</t>
  </si>
  <si>
    <t>VIC: Chuyển quyền sở hữu 984.737 cổ phiếu</t>
  </si>
  <si>
    <t>PGS: Chi trả cổ tức năm 2020</t>
  </si>
  <si>
    <t>UDJ: Chi trả cổ tức năm 2020 bằng tiền</t>
  </si>
  <si>
    <t>BRS: Chi trả cổ tức năm 2020 bằng tiền mặt</t>
  </si>
  <si>
    <t>DPS: Thông báo về việc thực hiện chuyển dữ liệu đăng ký, lưu ký cổ phiếu DPS từ thị trường HNX sang thị trường UPCOM</t>
  </si>
  <si>
    <t>VMI: Thông báo thực hiện chuyển dữ liệu đăng ký, lưu ký cổ phiếu VMI từ thị trường HNX sang thị trường UPCOM</t>
  </si>
  <si>
    <t>TVT: Chi trả cổ tức năm 2020 bằng tiền</t>
  </si>
  <si>
    <t>BHK: Trả cổ tức bằng tiền (năm 2020 và số còn lại năm 2019)</t>
  </si>
  <si>
    <t>SJC: Thông báo thực hiện chuyển dữ liệu đăng ký, lưu ký cổ phiếu SJC từ thị trường HNX sang thị trường UPCOM</t>
  </si>
  <si>
    <t>VND: Thực hiện quyền mua cổ phiếu</t>
  </si>
  <si>
    <t>NDX: Chi trả cổ tức năm 2020 bằng tiền mặt</t>
  </si>
  <si>
    <t>SJ1: Chi trả cổ tức năm 2020 bằng tiền</t>
  </si>
  <si>
    <t>MKP: Chi trả cổ tức năm 2020 bằng tiền và bằng cổ phiếu</t>
  </si>
  <si>
    <t>NS2: Chi trả cổ tức năm 2020 bằng tiền</t>
  </si>
  <si>
    <t>SSI: Trả cổ tức năm 2020 bằng tiền</t>
  </si>
  <si>
    <t>VIB: Quyền nhận cổ phiếu thưởng từ nguồn vốn chủ sở hữu.</t>
  </si>
  <si>
    <t>NTL: Trả cổ tức phần còn lại năm 2020 bằng tiền</t>
  </si>
  <si>
    <t>BSL: Trả cổ tức năm 2020 bằng tiền</t>
  </si>
  <si>
    <t>HAH: Chi trả cổ tức năm 2020 bằng tiền</t>
  </si>
  <si>
    <t>DBD: Trả cổ tức năm 2020 bằng cổ phiếu</t>
  </si>
  <si>
    <t>KDH: Trả cổ tức năm 2020 bằng cổ phiếu</t>
  </si>
  <si>
    <t>ORS: Thực hiện quyền mua cổ phiếu phát hành thêm cho cổ đông hiện hữu</t>
  </si>
  <si>
    <t>PTX: Chi trả cổ tức năm 2020 bằng tiền</t>
  </si>
  <si>
    <t>CHC: Trả cổ phiếu thưởng do thực hiện tăng vốn cổ phần từ nguồn vốn chủ sở hữu</t>
  </si>
  <si>
    <t>BIO: Chi trả cổ tức bằng tiền cho năm tài chính 2020</t>
  </si>
  <si>
    <t>BSP: Chi trả cổ tức còn lại năm 2020 bằng tiền</t>
  </si>
  <si>
    <t>VMD: Trả cổ tức năm 2020 bằng tiền</t>
  </si>
  <si>
    <t>VBB: Trả cổ tức bằng cổ phiếu năm 2019</t>
  </si>
  <si>
    <t>VSI: Trả cổ tức năm 2020 bằng tiền</t>
  </si>
  <si>
    <t>DTP: Trả cổ tức năm 2020 lần 1 bằng tiền</t>
  </si>
  <si>
    <t>BEL: Chia cổ tức đợt 2 năm 2020 (5%) và tạm ứng cổ tức đợt 1 năm 2021 (5%) bằng tiền</t>
  </si>
  <si>
    <t>CKA: Chi trả cổ tức bằng tiền năm 2020</t>
  </si>
  <si>
    <t>BUD: Chi trả cổ tức còn lại năm 2020 bằng tiền</t>
  </si>
  <si>
    <t>BMG: Chi trả cổ tức năm 2020 bằng tiền</t>
  </si>
  <si>
    <t>ACB: Trả cổ tức năm 2020 bằng cổ phiếu</t>
  </si>
  <si>
    <t>CPC: Chi cổ tức đợt 2 năm 2020 bằng tiền</t>
  </si>
  <si>
    <t>ADP: Tạm ứng cổ tức bằng tiền đợt 1 cho năm 2021 và phát hành cổ phiếu để tăng vốn cổ phần từ phần vốn chủ sở hữu</t>
  </si>
  <si>
    <t>CLC: Trả cổ tức đợt cuối năm 2020 bằng tiền mặt</t>
  </si>
  <si>
    <t>CNN: Chi trả cổ tức năm 2020 bằng tiền</t>
  </si>
  <si>
    <t>DBC: Trả cổ tức năm 2020 bằng cổ phiếu</t>
  </si>
  <si>
    <t>DTG: Chi trả cổ tức năm 2020 bằng tiền</t>
  </si>
  <si>
    <t>GIL: Chi trả cổ tức năm 2020 bằng tiền</t>
  </si>
  <si>
    <t>OPC: Chi trả cổ tức đợt 2/2020 bằng tiền</t>
  </si>
  <si>
    <t>VBC: Chi trả cổ tức năm 2020 bằng tiền</t>
  </si>
  <si>
    <t>LCW: Chi trả cổ tức bằng tiền năm 2020</t>
  </si>
  <si>
    <t>PWS: Trả cổ tức năm 2020 bằng tiền</t>
  </si>
  <si>
    <t>X26: Chi trả cổ tức năm 2020 bằng tiền mặt</t>
  </si>
  <si>
    <t>PGI: Trả cổ tức đợt 2 năm 2020 bằng tiền</t>
  </si>
  <si>
    <t>GND: Chi trả cổ tức bằng tiền đợt 2 năm 2020</t>
  </si>
  <si>
    <t>PTB: Trả cổ tức bằng tiền năm 2020 và nhận cổ phiếu thưởng từ nguồn cổ phiếu quỹ:</t>
  </si>
  <si>
    <t>TPS: Chi trả cổ tức năm 2020 đợt cuối bằng tiền</t>
  </si>
  <si>
    <t>BTR: Chi trả cổ tức năm 2020 bằng tiền</t>
  </si>
  <si>
    <t>SPB: Trả cổ tức năm 2020 bằng tiền</t>
  </si>
  <si>
    <t>KHW: Chi trả cổ tức năm 2020 và cổ tức bổ sung năm 2018 bằng tiền</t>
  </si>
  <si>
    <t>HDP: Trả cổ tức năm 2020 bằng tiền</t>
  </si>
  <si>
    <t>CNC: Trả cổ tức năm 2020 bằng tiền</t>
  </si>
  <si>
    <t>PSH: Chi trả cổ tức năm 2020 bằng tiền</t>
  </si>
  <si>
    <t>THB: Trả cổ tức năm 2020 bằng tiền</t>
  </si>
  <si>
    <t>NVL: Phát hành cổ phiếu để tăng vốn cổ phần từ nguồn vốn chủ sở hữu</t>
  </si>
  <si>
    <t>HLS: Trả cổ tức năm 2020 bằng tiền và nhận cổ phiếu phát hành do thực hiện tăng vốn cổ phần từ nguồn vốn chủ sở hữu</t>
  </si>
  <si>
    <t>PLX: Trả cổ tức năm 2020 bằng tiền</t>
  </si>
  <si>
    <t>BNW: Tạm ứng cổ tức đợt 1 năm 2021 bằng tiền</t>
  </si>
  <si>
    <t>TMP: Trả cổ tức đợt 2 năm 2020</t>
  </si>
  <si>
    <t>TR1: Nhận cổ tức năm 2020 bằng tiền</t>
  </si>
  <si>
    <t>KKC: Thanh toán cổ tức còn lại năm 2020 bằng tiền</t>
  </si>
  <si>
    <t>VIM: Chi trả cổ tức năm 2020 bằng tiền</t>
  </si>
  <si>
    <t>PIA: Trả cổ tức năm 2020 bằng tiền</t>
  </si>
  <si>
    <t>TVB: Thực hiện quyền mua cổ phiếu</t>
  </si>
  <si>
    <t>GEX: Thực hiện quyền mua cổ phiếu</t>
  </si>
  <si>
    <t>BTU: Chi trả cổ tức năm 2020 bằng tiền</t>
  </si>
  <si>
    <t>CCM: Trả cổ tức bằng tiền năm 2020</t>
  </si>
  <si>
    <t>BFC: Chi trả cổ tức đợt cuối năm 2020 bằng tiền</t>
  </si>
  <si>
    <t>KBE: Chi trả cổ tức đợt 2 năm 2020 bằng tiền</t>
  </si>
  <si>
    <t>PPH: Tạm ứng cổ tức năm 2020 bằng tiền</t>
  </si>
  <si>
    <t>TYA: Chi trả cổ tức năm 2020 bằng tiền</t>
  </si>
  <si>
    <t>VCA: Chi trả cổ tức bằng tiền năm 2020</t>
  </si>
  <si>
    <t>DIG: Trả cổ tức năm 2020 bằng cổ phiếu</t>
  </si>
  <si>
    <t>KST: Chi trả cổ tức năm 2020 bằng tiền</t>
  </si>
  <si>
    <t>VMA: Trả cổ tức năm 2020 bằng tiền</t>
  </si>
  <si>
    <t>HDM: Trả cổ tức năm 2020 bằng tiền</t>
  </si>
  <si>
    <t>PET: Chi trả cổ tức năm 2020 bằng tiền mặt</t>
  </si>
  <si>
    <t>IDJ: Trả cổ tức năm 2020 bằng cổ phiếu</t>
  </si>
  <si>
    <t>HCB: Trả cổ tức năm 2020 bằng tiền</t>
  </si>
  <si>
    <t>CH5: Chi trả cổ tức năm 2020 bằng tiền mặt</t>
  </si>
  <si>
    <t>PMS: Chi trả cổ tức năm 2020 bằng tiền</t>
  </si>
  <si>
    <t>TMB: Chi trả cổ tức bằng tiền năm 2020</t>
  </si>
  <si>
    <t>VGS: Trả cổ tức năm 2020 bằng tiền</t>
  </si>
  <si>
    <t>HJS: Tạm ứng cổ tức năm 2020 bằng tiền</t>
  </si>
  <si>
    <t>HLE: Chi trả cổ tức năm 2020 bằng tiền</t>
  </si>
  <si>
    <t>PTS: Chi trả cổ tức năm 2020 bằng tiền</t>
  </si>
  <si>
    <t>VTO: Chi trả cổ tức năm 2020 bằng tiền</t>
  </si>
  <si>
    <t>IMP: Trả cổ tức năm 2020 bằng tiền</t>
  </si>
  <si>
    <t>PNT: Chi trả cổ tức năm 2020 bằng tiền</t>
  </si>
  <si>
    <t>HMC: Chi trả cổ tức năm 2020 bằng tiền mặt</t>
  </si>
  <si>
    <t>WCS: Chi trả cổ tức năm 2020 bằng tiền</t>
  </si>
  <si>
    <t>HEC: Chi trả cổ tức năm 2020 bằng tiền mặt</t>
  </si>
  <si>
    <t>QNT: Quyền mua cho cổ đông hiện hữu</t>
  </si>
  <si>
    <t>SKG: Trả cổ tức năm 2020 bằng tiền</t>
  </si>
  <si>
    <t>C32: Chi trả cổ tức còn lại của năm 2020 bằng tiền</t>
  </si>
  <si>
    <t>MCH: Chi trả cổ tức năm 2020 bằng tiền</t>
  </si>
  <si>
    <t>NBW: Chi trả cổ tức năm 2020 bằng tiền mặt</t>
  </si>
  <si>
    <t>DHD: Trả cổ tức năm 2020 bằng cổ phiếu</t>
  </si>
  <si>
    <t>FTS: Trả cổ tức năm 2020 bằng tiền và phát hành cổ phiếu tăng vốn từ nguồn vốn chủ sở hữu</t>
  </si>
  <si>
    <t>MTS: Trả cổ tức năm 2020 bằng tiền</t>
  </si>
  <si>
    <t>TMG: Chi trả cổ tức phần còn lại của năm 2020 bằng tiền</t>
  </si>
  <si>
    <t>NHC: Chia cổ tức còn lại năm 2020 bằng tiền</t>
  </si>
  <si>
    <t>AVC: Trả cổ tức còn lại năm 2020 bằng tiền</t>
  </si>
  <si>
    <t>MGC: Chi trả cổ tức năm 2020 bằng tiền</t>
  </si>
  <si>
    <t>MVB: Chi trả cổ tức năm 2020 bằng tiền</t>
  </si>
  <si>
    <t>CDG: Chi trả cổ tức năm 2020 bằng tiền</t>
  </si>
  <si>
    <t>VNM: Thanh toán cổ tức còn lại của năm 2020 bằng tiền</t>
  </si>
  <si>
    <t>TV6: Thông báo về việc thực hiện chuyển dữ liệu đăng ký, lưu ký cổ phiếu TV6 từ thị trường niêm yết HNX sang thị trường đăng ký giao dịch (Upcom) tại Sở Giao dịch Chứng khoán Hà Nội (HNX)</t>
  </si>
  <si>
    <t>BMI: Chi trả cổ tức năm 2020 bằng tiền mặt</t>
  </si>
  <si>
    <t>HC3: Chi trả cổ tức đợt 2 năm 2020 bằng tiền và phát hành cổ phiếu để trả cổ tức năm 2020</t>
  </si>
  <si>
    <t>DHP: Chi trả cổ tức còn lại năm 2020 bằng tiền</t>
  </si>
  <si>
    <t>GVT: Chi trả cổ tức bằng tiền năm 2020</t>
  </si>
  <si>
    <t>GTS: Chi trả cổ tức còn lại năm 2020 bằng tiền mặt</t>
  </si>
  <si>
    <t>SDN: Chi trả cổ tức đợt 2 năm 2020 bằng tiền</t>
  </si>
  <si>
    <t>L10: Trả cổ tức năm 2020 bằng tiền</t>
  </si>
  <si>
    <t>FPT: Trả cổ tức còn lại năm 2020 bằng tiền và phát hành cổ phiếu để trả cổ tức</t>
  </si>
  <si>
    <t>HPG: Trả cổ tức năm 2020 bằng tiền và trả cổ tức năm 2020 bằng cổ phiếu</t>
  </si>
  <si>
    <t>HPD: Chi trả cổ tức đợt 2 năm 2020 bằng tiền mặt</t>
  </si>
  <si>
    <t>VFG: Chi trả cổ tức đợt cuối năm 2020 bằng tiền</t>
  </si>
  <si>
    <t>SGS: Chi trả cổ tức năm 2020 bằng tiền</t>
  </si>
  <si>
    <t>HND: Thanh toán cổ tức đợt 3 năm 2020 bằng tiền</t>
  </si>
  <si>
    <t>LWS: Trả cổ tức năm 2020 bằng tiền</t>
  </si>
  <si>
    <t>AMV: Thay đổi ngày chi trả cổ tức  bằng tiền năm 2019</t>
  </si>
  <si>
    <t>HPT: Đại hội đồng cổ đông thường niên năm 2021 và tạm ứng cổ tức năm 2020 bằng tiền</t>
  </si>
  <si>
    <t>PTB: Trả cổ tức bằng tiền năm 2020 và nhận cổ phiếu thưởng từ nguồn cổ phiếu quỹ</t>
  </si>
  <si>
    <t>MLS: Trả cổ tức đợt 1 năm 2020 bằng tiền</t>
  </si>
  <si>
    <t>DVW: Chi trả cổ tức năm 2020 bằng tiền</t>
  </si>
  <si>
    <t>DBM: Chi cổ tức còn lại năm 2020 bằng tiền</t>
  </si>
  <si>
    <t>VSM: Trả cổ tức năm 2020 bằng tiền</t>
  </si>
  <si>
    <t>MBN: Trả cổ tức năm 2020 bằng tiền</t>
  </si>
  <si>
    <t>HTC: Chi cổ tức bằng tiền đợt 5 (đợt cuối) năm 2020</t>
  </si>
  <si>
    <t>DRC: Thanh toán cổ tức còn lại năm 2020 bằng tiền</t>
  </si>
  <si>
    <t>PLC: Trả cổ tức còn lại năm 2020 bằng tiền</t>
  </si>
  <si>
    <t>BBM: Chi trả cổ tức bằng tiền năm 2020</t>
  </si>
  <si>
    <t>ADC: Chi trả cổ tức bằng tiền năm 2020</t>
  </si>
  <si>
    <t>PBT: Chi trả phần cổ tức năm 2020 bằng tiền</t>
  </si>
  <si>
    <t>HFB: Chi trả cổ tức đợt 2 năm 2020 bằng tiền mặt</t>
  </si>
  <si>
    <t>HAX: Trả cổ tức bằng cổ phiếu năm 2020</t>
  </si>
  <si>
    <t>TOS: Chi trả cổ tức bằng tiền năm 2020</t>
  </si>
  <si>
    <t>VIT: Trả cổ tức năm 2020 bằng tiền và thực hiện quyền mua cổ phiếu.</t>
  </si>
  <si>
    <t>VGC: Chi trả cổ tức năm 2020 bằng tiền</t>
  </si>
  <si>
    <t>VTE: Trả cổ tức năm 2020 bằng tiền</t>
  </si>
  <si>
    <t>TSB: Chi trả cổ tức năm 2020 bằng tiền</t>
  </si>
  <si>
    <t>UEM: Chi trả cổ tức năm 2020 bằng tiền</t>
  </si>
  <si>
    <t>PGC: Trả cổ tức còn lại năm 2020 bằng tiền</t>
  </si>
  <si>
    <t>CDH: Trả cổ tức năm 2020 bằng tiền</t>
  </si>
  <si>
    <t>HPP: Trả cổ tức còn lại năm 2020 bằng tiền</t>
  </si>
  <si>
    <t>DNL: Trả cổ tức bằng tiền năm 2020</t>
  </si>
  <si>
    <t>VIF: Trả cổ tức bằng tiền mặt năm 2020</t>
  </si>
  <si>
    <t>TVP: Chi cổ tức năm 2020 bằng tiền.</t>
  </si>
  <si>
    <t>BLI: Chi trả cổ tức năm 2020 bằng tiền</t>
  </si>
  <si>
    <t>MQB: Chi trả cổ tức năm 2020 bằng tiền</t>
  </si>
  <si>
    <t>KSE: Chi trả cổ tức năm 2020 bằng tiền</t>
  </si>
  <si>
    <t>TTP: Chi trả cổ tức năm 2020 bằng tiền</t>
  </si>
  <si>
    <t>SEP: Trả cổ tức còn lại năm 2020 bằng tiền</t>
  </si>
  <si>
    <t>BSD: Trả cổ tức năm 2020 bằng tiền</t>
  </si>
  <si>
    <t>NHA: Nhận cổ phiếu phát hành do thực hiện tăng vốn cổ phần từ nguồn vốn chủ sở hữu</t>
  </si>
  <si>
    <t>RTS: Trả cổ tức năm 2020 bằng tiền</t>
  </si>
  <si>
    <t>THI: Thông báo về việc thực hiện chuyển dữ liệu đăng ký, lưu ký cổ phiếu THI từ thị trường niêm yết HOSE sang thị trường niêm yết HNX</t>
  </si>
  <si>
    <t>G36: Trả cổ tức năm 2020 bằng cổ phiếu</t>
  </si>
  <si>
    <t>PTP: Chi trả cổ tức năm 2020 bằng tiền mặt</t>
  </si>
  <si>
    <t>EVE: Chi trả cổ tức năm 2020 bằng tiền</t>
  </si>
  <si>
    <t>PTH: Trả cổ tức năm 2020 bằng tiền</t>
  </si>
  <si>
    <t>NFC: Trả cổ tức năm 2020 bằng tiền</t>
  </si>
  <si>
    <t>UIC: Chi trả cổ tức còn lại của năm 2020 bằng tiền</t>
  </si>
  <si>
    <t>FUCVREIT: Chi trả lợi tức bằng tiền năm 2020</t>
  </si>
  <si>
    <t>HAM: Chi trả cổ tức đợt 3 năm 2020 bằng tiền</t>
  </si>
  <si>
    <t>MNB: Đại hội đồng cổ đông thường niên năm 2021 và tạm ứng cổ tức năm 2020 bằng tiền.</t>
  </si>
  <si>
    <t>VDB: Trả cổ tức năm 2020 bằng tiền</t>
  </si>
  <si>
    <t>NTH: Chi trả cổ tức lần 2 năm 2020 bằng tiền</t>
  </si>
  <si>
    <t>VPW: Chi trả cổ tức bằng tiền năm 2020</t>
  </si>
  <si>
    <t>M10: Chi trả cổ tức năm 2020 bằng tiền</t>
  </si>
  <si>
    <t>DPC: Chi trả cổ tức năm 2020 bằng tiền</t>
  </si>
  <si>
    <t>CTW: Trả cổ tức năm 2020 bằng tiền</t>
  </si>
  <si>
    <t>HNI: Chi trả cổ tức bằng tiền năm 2020</t>
  </si>
  <si>
    <t>HHR: Chi trả cổ tức năm 2020 bằng tiền</t>
  </si>
  <si>
    <t>KGM: Chi trả cổ tức năm 2020 bằng tiền</t>
  </si>
  <si>
    <t>GDW: Chi trả cổ tức năm 2020 bằng tiền</t>
  </si>
  <si>
    <t>SAV: Chi trả cổ tức bằng tiền năm 2020 và phát hành cổ phiếu do thực hiện tăng vốn cổ phần từ nguồn vốn chủ sở hữu</t>
  </si>
  <si>
    <t>TRA: Trả cổ tức còn lại năm 2020 bằng tiền và lấy ý kiến cổ đông bằng văn bản</t>
  </si>
  <si>
    <t>CPH: Trả cổ tức năm 2020 bằng tiền</t>
  </si>
  <si>
    <t>VAV: Trả cổ tức năm 2020 bằng tiền</t>
  </si>
  <si>
    <t>PIC: Chi trả cổ tức năm 2020 bằng tiền</t>
  </si>
  <si>
    <t>VC2: Trả cổ tức năm 2019 bằng tiền</t>
  </si>
  <si>
    <t>CLW: Thay đổi ngày chi trả cổ tức năm 2021 bằng tiền</t>
  </si>
  <si>
    <t>D2D: Chi trả cổ tức đợt 2 năm 2020 bằng tiền</t>
  </si>
  <si>
    <t>DTT: Đại hội đồng cổ đông thường niên năm 2021 và tạm ứng cổ tức bằng tiền năm 2020</t>
  </si>
  <si>
    <t>HEP: Trả cổ tức năm 2020 bằng tiền</t>
  </si>
  <si>
    <t>MCM: Trả cổ tức đợt 2 năm 2020 bằng tiền</t>
  </si>
  <si>
    <t>SIV: Thanh toán phần còn lại cổ tức năm 2020 bằng tiền.</t>
  </si>
  <si>
    <t>APF: Trả cổ tức năm 2020 đợt 2 bằng tiền</t>
  </si>
  <si>
    <t>TVS: Lấy ý kiến cổ đông bằng văn bản và Trả cổ tức năm 2020 bằng tiền</t>
  </si>
  <si>
    <t>DTH: Chi trả cổ tức năm 2020 bằng tiền</t>
  </si>
  <si>
    <t>TCM: Nhận cổ phiếu phát hành do thực hiện tăng vốn cổ phần từ nguồn vốn chủ sở hữu</t>
  </si>
  <si>
    <t>CAV: Thông báo về việc thực hiện chuyển dữ liệu đăng ký, lưu ký cổ phiếu CAV từ thị trường niêm yết HOSE sang thị trường niêm yết HNX</t>
  </si>
  <si>
    <t>HNB: Chi trả cổ tức năm 2020 bằng tiền</t>
  </si>
  <si>
    <t>TNP: Chi trả cổ tức năm 2020 bằng tiền</t>
  </si>
  <si>
    <t>TET: Trả cổ tức năm 2020 bằng tiền</t>
  </si>
  <si>
    <t>IBD: Chi trả cổ tức còn lại năm 2020 bằng tiền</t>
  </si>
  <si>
    <t>TVW: Tổ chức Đại hội đồng cổ đông thường niên năm 2021 và chi trả cổ tức đợt 1 năm 2019 bằng tiền</t>
  </si>
  <si>
    <t>BMN: Chi trả cổ tức năm 2020 bằng tiền</t>
  </si>
  <si>
    <t>TOT: Chi trả cổ tức năm 2020 bằng tiền và lấy ý kiến cổ đông bằng văn bản</t>
  </si>
  <si>
    <t>KHP: Chi trả cổ tức năm 2020 bằng tiền mặt</t>
  </si>
  <si>
    <t>QCC: Chi trả cổ tức bằng tiền năm 2020</t>
  </si>
  <si>
    <t>NLG: Chi cổ tức bằng tiền đợt 2 năm 2020</t>
  </si>
  <si>
    <t>MBS: Trả cổ tức năm 2020 bằng cổ phiếu và thực hiện quyền mua cổ phiếu</t>
  </si>
  <si>
    <t>S74: Thông báo về việc thực hiện chuyển dữ liệu đăng ký, lưu ký cổ phiếu S74 từ thị trường HNX sang thị trường UPCOM</t>
  </si>
  <si>
    <t>MND: Trả cổ tức năm 2020 bằng tiền</t>
  </si>
  <si>
    <t>TC6: Chi trả cổ tức năm 2020 bằng tiền</t>
  </si>
  <si>
    <t>ITQ: Chi trả cổ tức năm 2020 bằng tiền</t>
  </si>
  <si>
    <t>DNN: Chi trả cổ tức còn lại năm 2020 bằng tiền</t>
  </si>
  <si>
    <t>QBR: Chi trả cổ tức năm 2020 bằng tiền</t>
  </si>
  <si>
    <t>QNU: Trả cổ tức năm 2020 bằng tiền</t>
  </si>
  <si>
    <t>BT1: Trả cổ tức năm 2020 bằng tiền</t>
  </si>
  <si>
    <t>VGR: Chi trả cổ tức năm 2020 bằng tiền</t>
  </si>
  <si>
    <t>PHN: Chi trả cổ tức đợt 3 năm 2020 bằng tiền và tạm ứng cổ tức đợt 1 năm 2021 bằng tiền</t>
  </si>
  <si>
    <t>CMD: Chi trả tạm ứng cổ tức đợt 1 năm 2021 bằng tiền</t>
  </si>
  <si>
    <t>CST: Trả cổ tức năm 2020 bằng tiền</t>
  </si>
  <si>
    <t>TOW: Trả cổ tức năm 2020 bằng tiền</t>
  </si>
  <si>
    <t>HPU: Chi trả cổ tức năm 2020 bằng tiền mặt</t>
  </si>
  <si>
    <t>HUG: Trả cổ tức năm 2020 bằng tiền</t>
  </si>
  <si>
    <t>GTA: Chi trả cổ tức bằng tiền năm 2020</t>
  </si>
  <si>
    <t>PLE: Chi trả cổ tức năm 2020 bằng tiền mặt</t>
  </si>
  <si>
    <t>ICN: Chi trả cổ tức năm 2020 (đợt 2) bằng tiền</t>
  </si>
  <si>
    <t>DTB: Chi trả cổ tức năm 2020 bằng tiền</t>
  </si>
  <si>
    <t>BMP: Thanh toán cổ tức còn lại cho năm 2020 bằng tiền mặt</t>
  </si>
  <si>
    <t>NDC: Chi trả cổ tức năm 2020 bằng tiền</t>
  </si>
  <si>
    <t>SMC: Chi trả cổ tức đợt cuối năm 2020 bằng tiền mặt</t>
  </si>
  <si>
    <t>USD: Chi trả cổ tức năm 2020 bằng tiền</t>
  </si>
  <si>
    <t>VIN: Trả cổ tức năm 2020 bằng tiền mặt</t>
  </si>
  <si>
    <t>NNT: Chi trả cổ tức năm 2020 bằng tiền</t>
  </si>
  <si>
    <t>MTP: Trả cổ tức năm 2020 bằng tiền</t>
  </si>
  <si>
    <t>BHG: Chi trả cổ tức năm 2020 bằng tiền</t>
  </si>
  <si>
    <t>ICS: Chi trả cổ tức năm 2020 bằng tiền</t>
  </si>
  <si>
    <t>HKP: Trả cổ tức năm 2020 và các năm trước (năm 2017 - năm 2019) bằng tiền</t>
  </si>
  <si>
    <t>BGW: Chi trả cổ tức năm 2020 bằng tiền mặt</t>
  </si>
  <si>
    <t>CLW: Trả cổ tức năm 2020 bằng tiền</t>
  </si>
  <si>
    <t>CCR: Trả cổ tức năm 2020 bằng tiền</t>
  </si>
  <si>
    <t>HRB: Trả cổ tức năm 2020 bằng tiền</t>
  </si>
  <si>
    <t>PPC: Trả cổ tức bằng tiền mặt lần 3 năm 2020</t>
  </si>
  <si>
    <t>CLM: Chi trả cổ tức năm 2020 bằng tiền</t>
  </si>
  <si>
    <t>CLH: Chi trả cổ tức còn lại năm 2020 bằng tiền.</t>
  </si>
  <si>
    <t>VWS: Trả cổ tức năm 2020 đợt 2 bằng tiền mặt</t>
  </si>
  <si>
    <t>NDW: Trả cổ tức năm 2020 bằng tiền</t>
  </si>
  <si>
    <t>GIC: Chi trả cổ tức năm 2020 bằng tiền</t>
  </si>
  <si>
    <t>MPT: Thông báo về việc thực hiện chuyển dữ liệu đăng ký, lưu ký cổ phiếu MPT từ thị trường HNX sang thị trường UPCOM</t>
  </si>
  <si>
    <t>PXT: Thông báo về việc chuyển dữ liệu đăng ký, lưu ký cổ phiếu PXT từ thị trường HOSE sang thị trường UPCOM</t>
  </si>
  <si>
    <t>QSP: Chi trả cổ tức năm 2020 bằng tiền</t>
  </si>
  <si>
    <t>VBG: Chi trả cổ tức năm 2020 bằng tiền</t>
  </si>
  <si>
    <t>PEN: Chi trả cổ tức năm 2020 bằng tiền</t>
  </si>
  <si>
    <t>TDN: Chốt danh sách cổ đông để trả cổ tức năm 2020 bằng tiền mặt</t>
  </si>
  <si>
    <t>DCI: Chi trả cổ tức năm 2020 bằng tiền.</t>
  </si>
  <si>
    <t>MSH: Chi trả cổ tức năm 2020 bằng tiền</t>
  </si>
  <si>
    <t>TIX: Chi tạm ứng cổ tức bằng tiền đợt 1 năm 2021</t>
  </si>
  <si>
    <t>BED: Trả cổ tức năm 2020 bằng tiền</t>
  </si>
  <si>
    <t>DHA: Thanh toán cổ tức phần còn lại năm 2020 bằng tiền</t>
  </si>
  <si>
    <t>RCL: Thông báo về việc thay đổi ngày thanh toán tạm ứng cổ tức đợt 1 năm 2020 bằng tiền</t>
  </si>
  <si>
    <t>NAC: Chi trả cổ tức năm 2020 bằng tiền</t>
  </si>
  <si>
    <t>PTG: Chi tạm ứng cổ tức bằng tiền đợt 1 năm 2021</t>
  </si>
  <si>
    <t>VQC: Trả cổ tức năm 2020 bằng tiền</t>
  </si>
  <si>
    <t>FUCTVGF2: Chi trả lợi tức bằng tiền cho năm tài chính 2020</t>
  </si>
  <si>
    <t>HPW: Chi trả cổ tức năm 2020 bằng tiền</t>
  </si>
  <si>
    <t>MEF: Chi trả cổ tức năm 2020 bằng tiền mặt</t>
  </si>
  <si>
    <t>ATG: Chuyển dữ liệu đăng ký, lưu ký cổ phiếu ATG từ thị trường niêm yết HOSE sang thị trường UpCOM</t>
  </si>
  <si>
    <t>VHL: Thanh toán cổ tức năm 2020 cho cổ đông hiện hữu bằng tiền mặt</t>
  </si>
  <si>
    <t>QBS: Chuyển dữ liệu đăng ký, lưu ký chứng khoán QBS từ thị trường niêm yết HOSE sang thị trường niêm yết HNX</t>
  </si>
  <si>
    <t>NGC: Chuyển dữ liệu đăng ký, lưu ký cổ phiếu từ thị trường HNX sang thị trường UPCOM</t>
  </si>
  <si>
    <t>CVT: Điều chỉnh ngày chi trả cổ tức</t>
  </si>
  <si>
    <t>HTC: Chi tạm ứng cổ tức bằng tiền đợt 4 năm 2020</t>
  </si>
  <si>
    <t>TTD: Chi cổ tức đợt 3 năm 2020 bằng tiền</t>
  </si>
  <si>
    <t>SAD: Phát hành cổ phiếu để tăng vốn cổ phần từ nguồn vốn chủ sở hữu</t>
  </si>
  <si>
    <t>DAP: Chi cổ tức cho năm tài chính 2020 bằng tiền</t>
  </si>
  <si>
    <t>CVH: Chi trả cổ tức năm 2020 bằng tiền mặt</t>
  </si>
  <si>
    <t>LCG: Chi trả cổ tức đợt 1 năm 2020 bằng tiền</t>
  </si>
  <si>
    <t>BTW: Trả cổ tức bằng tiền mặt năm 2020</t>
  </si>
  <si>
    <t>VXT: Chi trả cổ tức bằng tiền lần 02 năm 2020</t>
  </si>
  <si>
    <t>BNW: Trả cổ tức còn lại năm 2020 bằng tiền</t>
  </si>
  <si>
    <t>VGG: Chi trả cổ tức năm 2020 bằng tiền</t>
  </si>
  <si>
    <t>DPP: Trả cổ tức năm 2020 bằng tiền mặt</t>
  </si>
  <si>
    <t>CMK: Chi trả cổ tức năm 2020 bằng tiền</t>
  </si>
  <si>
    <t>TDB: Tạm ứng cổ tức đợt 1 năm 2021 bằng tiền</t>
  </si>
  <si>
    <t>BCB: Chi trả cổ tức bằng tiền năm 2020</t>
  </si>
  <si>
    <t>PPY: Chi trả cổ tức năm 2020 bằng tiền</t>
  </si>
  <si>
    <t>PIS: Trả cổ tức năm 2020 bằng tiền</t>
  </si>
  <si>
    <t>TVD: Trả cổ tức năm 2020 bằng tiền</t>
  </si>
  <si>
    <t>TQN: Chi trả cổ tức năm 2020 bằng tiền</t>
  </si>
  <si>
    <t>HCM: Thanh toán cổ tức đợt 2 năm 2020 bằng tiền</t>
  </si>
  <si>
    <t>VTQ: Tham dự Đại hội đồng cổ đông thường niên năm 2021 và tạm ứng cổ tức năm 2020 bằng tiền</t>
  </si>
  <si>
    <t>DGC: Trả cổ tức bằng cổ phiếu năm 2020</t>
  </si>
  <si>
    <t>INN: Trả cổ tức năm 2020 bằng tiền</t>
  </si>
  <si>
    <t>FHN: Chi trả cổ tức năm 2020 bằng tiền</t>
  </si>
  <si>
    <t>APL: Chi trả cổ tức năm 2020 bằng tiền</t>
  </si>
  <si>
    <t>SEB: Thanh toán cổ tức còn lại năm 2020 (8%/cổ phiếu) và tạm ứng cổ tức lần 01 năm 2021 (7%/cổ phiếu)</t>
  </si>
  <si>
    <t>TDW: Trả cổ tức năm 2020 bằng tiền</t>
  </si>
  <si>
    <t>TB8: Trả cổ tức năm 2020 bằng tiền</t>
  </si>
  <si>
    <t>CDV: Chi trả cổ tức đợt 2 năm 2020 bằng tiền</t>
  </si>
  <si>
    <t>WSB: Chi cổ tức đợt cuối của năm 2020 bằng tiền</t>
  </si>
  <si>
    <t>SHB: Trả cổ tức năm 2019 bằng cổ phiếu</t>
  </si>
  <si>
    <t>NTP: Chi trả cổ tức bằng tiền đợt 2 năm 2020</t>
  </si>
  <si>
    <t>HGM: Thanh toán cổ tức năm 2020 bằng tiền</t>
  </si>
  <si>
    <t>DRL: Chi trả cổ tức bằng tiền bao gồm chi trả phần còn lại của cổ tức năm 2020 (17,80 %/cổ phiếu) và tạm ứng cổ tức năm 2021 (2,20 %/cổ phiếu)</t>
  </si>
  <si>
    <t>DHG: Trả cổ tức bằng tiền năm 2020</t>
  </si>
  <si>
    <t>ASG: Thông báo thực hiện chuyển dữ liệu đăng ký, lưu ký cổ phiếu ASG từ thị trường niêm yết HOSE sang thị trường niêm yết HNX như sau:</t>
  </si>
  <si>
    <t>WTC: Trả cổ tức năm 2020 bằng tiền</t>
  </si>
  <si>
    <t>VDT: Trả cổ tức năm 2020 bằng tiền</t>
  </si>
  <si>
    <t>BDT: Tạm ứng cổ tức năm 2020 bằng tiền.</t>
  </si>
  <si>
    <t>CX8: Điều chỉnh ngày chi trả cổ tức</t>
  </si>
  <si>
    <t>BSI: Thông báo thực hiện chuyển dữ liệu đăng ký, lưu ký cổ phiếu từ thị trường niêm yết HOSE sang thị trường niêm yết HNX</t>
  </si>
  <si>
    <t>PMT: Chi trả cổ tức năm năm tài chính 2020 bằng tiền</t>
  </si>
  <si>
    <t>ONE: Trả cổ tức năm 2019 bằng tiền và tham dự Đại hội đồng cổ đông thường niên năm 2021</t>
  </si>
  <si>
    <t>VCP: Trả cổ tức năm 2019 bằng cổ phiếu</t>
  </si>
  <si>
    <t>GSP: Chi trả cổ tức năm 2020 bằng tiền</t>
  </si>
  <si>
    <t>S55: Chi trả cổ tức năm 2020 bằng tiền</t>
  </si>
  <si>
    <t>CPW: Chi cổ tức còn lại năm 2020 bằng tiền</t>
  </si>
  <si>
    <t>CLG: Thông báo chuyển dữ liệu đăng ký, lưu ký cổ phiếu từ thị trường HOSE sang thị trường UPCOM</t>
  </si>
  <si>
    <t>SPA: Tham dự Đại hội đồng cổ đông thường niên năm 2021 và Tạm ứng cổ tức năm 2020 bằng tiền</t>
  </si>
  <si>
    <t>VSC: Chi trả cổ tức đợt 2 năm 2020 bằng tiền</t>
  </si>
  <si>
    <t>PEQ: Chi trả cổ tức năm 2020 bằng tiền</t>
  </si>
  <si>
    <t>SCI: Trả cổ tức năm 2020 bằng tiền</t>
  </si>
  <si>
    <t>TMC: Trả cổ tức của năm 2020 bằng tiền</t>
  </si>
  <si>
    <t>PDR: Chi trả cổ tức năm 2020 cho cổ đông bằng cổ phiếu từ nguồn lợi nhuận sau thuế chưa phân phối</t>
  </si>
  <si>
    <t>HGW: Chi trả cổ tức năm 2020 bằng tiền</t>
  </si>
  <si>
    <t>VTT: Chi trả cổ tức năm 2020 bằng tiền.</t>
  </si>
  <si>
    <t>PSC: Chi trả cổ tức năm 2020 bằng tiền</t>
  </si>
  <si>
    <t>VCI: Chi trả cổ tức đợt 2 bằng tiền năm 2020</t>
  </si>
  <si>
    <t>HVH: Tổ chức Đại hội đồng cổ đông thường niên năm 2021 và tạm ứng cổ tức năm 2020 bằng tiền</t>
  </si>
  <si>
    <t>HEV: Tổ chức Đại hội đồng cổ đông thường niên năm 2021 và tạm ứng cổ tức năm 2020 bằng tiền</t>
  </si>
  <si>
    <t>SAF: Chi trả cổ tức bằng tiền</t>
  </si>
  <si>
    <t>VGL: Chi trả cổ tức năm 2020 bằng tiền</t>
  </si>
  <si>
    <t>NAV: Đại hội đồng cổ đông thường niên năm 2021 và tạm ứng cổ tức đợt 2 năm 2020 bằng tiền</t>
  </si>
  <si>
    <t>DCH: Đại hội đồng cổ đông thường niên năm 2021 và tạm ứng chi trả cổ tức năm 2020 cho cổ đông</t>
  </si>
  <si>
    <t>PWA: Trả cổ tức còn lại năm 2018 và thanh toán đợt 1 cổ tức năm 2019 bằng tiền</t>
  </si>
  <si>
    <t>CII42013: Thanh toán lãi trái phiếu doanh nghiệp bằng tiền đợt 1 và chuyển đổi trái phiếu doanh nghiệp</t>
  </si>
  <si>
    <t>SED: Thanh toán cổ tức năm 2020 bằng tiền mặt</t>
  </si>
  <si>
    <t>NHC: Tạm ứng cổ tức đợt 2 năm 2020 bằng tiền</t>
  </si>
  <si>
    <t>BKH: Chi tạm ứng cổ tức kỳ I năm 2020 bằng tiền mặt</t>
  </si>
  <si>
    <t>LO5: Thông báo thực hiện chuyển dữ liệu đăng ký, lưu ký cổ phiếu LO5 từ thị trường HNX sang thị trường UPCOM</t>
  </si>
  <si>
    <t>BAX: Chi cổ tức đợt 2 năm 2020</t>
  </si>
  <si>
    <t>TDS: Chi trả cổ tức năm 2020 bằng tiền</t>
  </si>
  <si>
    <t>NNC: Tạm ứng cổ tức bằng tiền mặt đợt 2 năm 2020</t>
  </si>
  <si>
    <t>QNS: Trả cổ tức còn lại năm 2020 bằng tiền</t>
  </si>
  <si>
    <t>PAN: Thông báo về việc chuyển dữ liệu đăng ký, lưu ký cổ phiếu PAN từ thị trường niêm yết HOSE sang thị trường niêm yết HNX</t>
  </si>
  <si>
    <t>TVB: Thông báo về việc chuyển dữ liệu đăng ký, lưu ký cổ phiếu TVB từ thị trường niêm yết HOSE sang thị trường niêm yết HNX</t>
  </si>
  <si>
    <t>RAL: Tổ chức Đại hội đồng cổ đông thường niên năm 2021 và tạm ứng cổ tức bằng tiền đợt 2 năm 2020</t>
  </si>
  <si>
    <t>TNB: Chi trả cổ tức năm 2020 bằng tiền mặt</t>
  </si>
  <si>
    <t>DAG: Phát hành cổ phiếu để tăng vốn cổ phần từ nguồn vốn chủ sở hữu.</t>
  </si>
  <si>
    <t>SDK: Trả cổ tức năm 2020 bằng tiền</t>
  </si>
  <si>
    <t>BSH: Chi trả cổ tức lần 2 năm 2020 bằng tiền mặt</t>
  </si>
  <si>
    <t>VND: Trả cổ tức năm 2020 bằng tiền</t>
  </si>
  <si>
    <t>DTV: Trả cổ tức đợt 2 năm 2020 bằng tiền</t>
  </si>
  <si>
    <t>LAF: Thông báo về việc chuyển dữ liệu đăng ký, lưu ký cổ phiếu LAF từ thị trường niêm yết HOSE sang thị trường niêm yết HNX</t>
  </si>
  <si>
    <t>CVT: Trả cổ tức bằng tiền mặt năm 2020</t>
  </si>
  <si>
    <t>FOC: Chi trả cổ tức năm 2020 bằng tiền</t>
  </si>
  <si>
    <t>CAT: Chi trả cổ tức cuối năm 2020 bằng tiền</t>
  </si>
  <si>
    <t>CFC: Trả cổ tức năm 2020 bằng tiền</t>
  </si>
  <si>
    <t>HAC: Chi trả cổ tức năm 2020 bằng tiền</t>
  </si>
  <si>
    <t>DHD: Tạm ứng cổ tức năm 2020 bằng tiền</t>
  </si>
  <si>
    <t>SDT: Thay đổi ngày thanh toán cổ tức</t>
  </si>
  <si>
    <t>KKC: Tham dự Đại hội đồng cổ đông thường niên năm 2021 và tạm ứng cổ tức năm 2020 bằng tiền</t>
  </si>
  <si>
    <t>VND: Thông báo về việc thực hiện chuyển dữ liệu đăng ký, lưu ký cổ phiếu VND từ thị trường niêm yết HOSE sang thị trường niêm yết HNX</t>
  </si>
  <si>
    <t>HLY: Thông báo về việc thực hiện chuyển dữ liệu đăng ký, lưu ký cổ phiếu HLY từ thị trường HNX sang thị trường UPCOM</t>
  </si>
  <si>
    <t>HHP: Trả cổ tức năm 2019 bằng cổ phiếu</t>
  </si>
  <si>
    <t>PRC: Chi trả cổ tức năm 2020 bằng tiền</t>
  </si>
  <si>
    <t>GTH: Tham dự Đại hội đồng cổ đông thường niên năm 2021 và chi trả cổ tức năm 2018 và 2019 bằng tiền</t>
  </si>
  <si>
    <t>KBE: Đại hội đồng cổ đông thường niên năm 2021 và tạm ứng cổ tức đợt 1 năm 2020 bằng tiền</t>
  </si>
  <si>
    <t>NSC: Thông báo về việc thực hiện chuyển dữ liệu đăng ký, lưu ký cổ phiếu NSC từ thị trường niêm yết HOSE sang thị trường niêm yết HNX</t>
  </si>
  <si>
    <t>DIG: Trả cổ tức năm 2019 bằng cổ phiếu</t>
  </si>
  <si>
    <t>VFG: Thông báo về việc thực hiện chuyển dữ liệu đăng ký, lưu ký cổ phiếu VFG từ thị trường niêm yết HOSE sang thị trường niêm yết HNX</t>
  </si>
  <si>
    <t>ABT: Thông báo về việc thực hiện chuyển dữ liệu đăng ký, lưu ký cổ phiếu ABT từ thị trường niêm yết HOSE sang thị trường niêm yết HNX</t>
  </si>
  <si>
    <t>BBC: Thông báo về việc chuyển dữ liệu đăng ký, lưu ký chứng khoán BBC từ thị trường niêm yết HOSE sang thị trường niêm yết HNX</t>
  </si>
  <si>
    <t>SSC: Thông báo về việc thực hiện chuyển dữ liệu đăng ký, lưu ký cổ phiếu SSC từ thị trường niêm yết HOSE sang thị trường niêm yết HNX</t>
  </si>
  <si>
    <t>T12: Điều chỉnh thời gian thực hiện quyền mua cổ phiếu</t>
  </si>
  <si>
    <t>VNC: Tổ chức Đại hội đồng cổ đông thường niên năm 2021 và tạm ứng cổ tức đợt 2 năm 2020 bằng tiền</t>
  </si>
  <si>
    <t>QST: Tham dự Đại hội đồng cổ đông thường niên năm 2021 và tạm ứng cổ tức bằng tiền năm 2020</t>
  </si>
  <si>
    <t>NTR: Tổ chức Đại hội đồng cổ đông thường niên năm 2021 và tạm ứng cổ tức năm 2020 bằng tiền</t>
  </si>
  <si>
    <t>VTS: Thông báo về việc thực hiện chuyển dữ liệu đăng ký, lưu ký cổ phiếu VTS từ thị trường HNX sang thị trường UPCOM</t>
  </si>
  <si>
    <t>SSE: Chi trả tạm ứng cổ tức bằng tiền đợt 2 năm 2020</t>
  </si>
  <si>
    <t>L40: Tạm ứng cổ tức năm 2020 bằng tiền và tổ chức ĐHĐCĐ thường niên năm 2021.</t>
  </si>
  <si>
    <t>VIC: Chuyển quyền sở hữu 49.236 cổ phiếu</t>
  </si>
  <si>
    <t>DM7: Tổ chức Đại hội đồng cổ đông thường niên năm 2021 và chi trả cổ tức phần còn lại bằng tiền năm 2020</t>
  </si>
  <si>
    <t>SAS: Tạm ứng cổ tức năm 2020 bằng tiền</t>
  </si>
  <si>
    <t>PDR: Tạm ứng cổ tức đợt 2 năm 2020 cho cổ đông bằng cổ phiếu từ nguồn lợi nhuận sau thuế chưa phân phối</t>
  </si>
  <si>
    <t>LBM: Tạm ứng cổ tức bằng tiền lần 2 năm 2020 và Tổ chức Đại hội cổ đông thường niên năm 2021</t>
  </si>
  <si>
    <t>CAP: Chi trả cổ tức niên độ tài chính 2019 - 2020 bằng tiền</t>
  </si>
  <si>
    <t>CMF: Tổ chức Đại hội đồng cổ đông thường niên năm 2021 và trả tạm ứng cổ tức năm 2020 bằng tiền mặt</t>
  </si>
  <si>
    <t>DNR: Tham dự Đại hội đồng cổ đông nhiệm kỳ 2021-2026 và thường niên năm 2021 và tạm ứng cổ tức năm 2020 bằng tiền</t>
  </si>
  <si>
    <t>SOV: Chi trả tạm ứng cổ tức bằng tiền năm 2020</t>
  </si>
  <si>
    <t>TLH: Chi trả cổ tức 5% của năm 2018 bằng tiền và đại hội đồng cổ đông thường niên năm 2021</t>
  </si>
  <si>
    <t>VTC: Chi trả cổ tức năm 2019 bằng tiền và tổ chức Đại hội đồng cổ đông thường niên năm 2021</t>
  </si>
  <si>
    <t>VCR: Thay đổi ngày thanh toán cổ tức</t>
  </si>
  <si>
    <t>NHT: Tạm ứng cổ tức đợt 2 năm 2020 bằng tiền</t>
  </si>
  <si>
    <t>HTU: Tạm ứng cổ tức năm 2020 bằng tiền mặt và  tổ chức Đại hội đồng cổ đông thường niên năm 2021</t>
  </si>
  <si>
    <t>NHH: Tạm ứng cổ tức đợt 1 năm 2020 bằng tiền</t>
  </si>
  <si>
    <t>VPD: Tham dự Đại hội đồng cổ đông thường niên năm 2021 và tạm ứng cổ tức bằng tiền năm 2020</t>
  </si>
  <si>
    <t>THS: Chi trả cổ tức bằng tiền năm 2020</t>
  </si>
  <si>
    <t>ACE: Tổ chức Đại hội đồng cổ đông thường niên năm 2021 và Tạm ứng cổ tức bằng tiền mặt năm 2020</t>
  </si>
  <si>
    <t>BWA: Tạm ứng cổ tức năm 2020 bằng tiền và Tổ chức Đại hội cổ đông thường niên năm 2021</t>
  </si>
  <si>
    <t>SGD: Tổ chức Đại hội đồng cổ đông thường niên năm 2021 và chi trả tạm ứng cổ tức năm 2020 bằng tiền</t>
  </si>
  <si>
    <t>DP3: Tham dự Đại hội đồng cổ đông thường niên năm 2021 và tạm ứng cổ tức bằng tiền năm 2020</t>
  </si>
  <si>
    <t>THP: Tạm ứng cổ tức lần 2 năm 2020 bằng tiền</t>
  </si>
  <si>
    <t>KHS: Tham dự Đại hội đồng cổ đông thường niên năm 2021 và chi trả tạm ứng cổ tức năm 2020 bằng tiền</t>
  </si>
  <si>
    <t>ADP: Tạm ứng cổ tức đợt 4 cho năm tài chính 2020 và tham dự Đại hội đồng cổ đông thường niên năm 2021</t>
  </si>
  <si>
    <t>TMW: Tổ chức Đại hội đồng cổ đông thường niên năm 2021 và chi trả cổ tức năm 2019 bằng tiền</t>
  </si>
  <si>
    <t>KCE: Tham dự Đại hội đồng cổ đông thường niên năm 2021 và tạm ứng cổ tức đợt 1 năm 2020 bằng tiền</t>
  </si>
  <si>
    <t>ECI: Tham dự Đại hội đồng cổ đông thường niên năm 2021 và tạm ứng cổ tức lần 2 năm 2020 bằng tiền</t>
  </si>
  <si>
    <t>L18: Đại hội cổ đông thường niên năm 2021 và tạm ứng cổ tức năm 2020 bằng tiền</t>
  </si>
  <si>
    <t>EPH: Tham dự Đại hội đồng cổ đông thường niên 2021 và tạm ứng cổ tức năm 2020 bằng tiền</t>
  </si>
  <si>
    <t>EBS: Tham dự Đại hội đồng cổ đông thường niên 2021 và tạm ứng cổ tức năm 2020 bằng tiền</t>
  </si>
  <si>
    <t>EAD: Tổ chức Đại hội đồng cổ đông thường niên năm 2021 và tạm ứng cổ tức năm 2020 bằng tiền</t>
  </si>
  <si>
    <t>TQN: Chi trả cổ tức năm 2018 bằng tiền</t>
  </si>
  <si>
    <t>VNL: Tổ chức Đại hội đồng cổ đông thường niên năm 2021 và tạm ứng cổ tức đợt 2 năm 2020 bằng tiền</t>
  </si>
  <si>
    <t>LBE: Đại hội đồng cổ đông thường niên năm 2021 và tạm ứng cổ tức năm 2020 bằng tiền</t>
  </si>
  <si>
    <t>PJC: Tham dự đại hội đồng cổ đông thường niên năm 2021 và tạm ứng cổ tức năm 2020 bằng tiền</t>
  </si>
  <si>
    <t>BLW: Chi tạm ứng cổ tức năm 2020 bằng tiền</t>
  </si>
  <si>
    <t>THG: Tổ chức Đại hội đồng cổ đông thường niên năm 2021 và tạm ứng cổ tức đợt 3 năm 2020 bằng tiền</t>
  </si>
  <si>
    <t>TTC: Tham dự đại hội đồng cổ đông thường niên năm 2021 và chi trả tạm ứng cổ tức năm 2020 bằng tiền mặt</t>
  </si>
  <si>
    <t>NDP: Tạm ứng cổ tức năm 2020 bằng tiền và tổ chức đại hội đồng cổ đông thường niên năm 2021</t>
  </si>
  <si>
    <t>NCT: Tạm ứng cổ tức lần 2 năm 2020 bằng tiền</t>
  </si>
  <si>
    <t>RCL: Đại hội cổ đông thường niên năm 2021 và tạm ứng cổ tức đợt 1 năm 2020.</t>
  </si>
  <si>
    <t>VDP: Tạm ứng cổ tức đợt 2 năm 2020 bằng tiền và Đại hội đồng cổ đông thường niên năm 2021.</t>
  </si>
  <si>
    <t>TPH: Tham dự Đại hội đồng cổ đông thường niên năm 2021 và tạm ứng cổ tức năm 2020 bằng tiền.</t>
  </si>
  <si>
    <t>SFI: Tham dự Đại hội đồng cổ đông thường niên năm 2021 và chi trả tạm ứng cổ tức đợt 1 năm 2020 bằng tiền.</t>
  </si>
  <si>
    <t>RDP: Phát hành cổ phiếu từ nguồn vốn chủ sở hữu</t>
  </si>
  <si>
    <t>HND: Tạm ứng cổ tức đợt 2 năm 2020 bằng tiền</t>
  </si>
  <si>
    <t>PMC: Tổ chức Đại hội đồng cổ đông thường niên năm 2021 và tạm ứng phần còn lại cổ tức năm 2020 bằng tiền</t>
  </si>
  <si>
    <t>HIZ: Chi trả cổ tức năm 2019 bằng tiền mặt</t>
  </si>
  <si>
    <t>VCA: Thông báo về việc thực hiện chuyển dữ liệu đăng ký, lưu ký cổ phiếu VCA từ thị trường UPCOM sang thị trường HOSE</t>
  </si>
  <si>
    <t>CX8: Tổ chức Đại hội đồng cổ đông thường niên năm 2021 và trả cổ tức năm 2019 bằng tiền</t>
  </si>
  <si>
    <t>KPF: Điều chỉnh thời gian thực hiện quyền mua cổ phiếu</t>
  </si>
  <si>
    <t>PGN: Thay đổi ngày thanh toán cổ tức</t>
  </si>
  <si>
    <t>XHC: Chi tạm ứng cổ tức năm 2020 bằng tiền và tham dự Đại hội đồng cổ đông thường niên năm 2021</t>
  </si>
  <si>
    <t>NBE: Thực hiện tổ chức họp Đại hội đồng cổ đông thường niên năm 2021 và tạm ứng cổ tức năm 2020 bằng tiền mặt</t>
  </si>
  <si>
    <t>SBH: Tạm ứng cổ tức năm 2020 bằng tiền</t>
  </si>
  <si>
    <t>HTG: Tổ chức Đại hội đồng cổ đông thường niên năm 2021 và tạm ứng cổ tức năm 2020 bằng tiền</t>
  </si>
  <si>
    <t>AVC: Tạm ứng cổ tức năm 2020 bằng tiền</t>
  </si>
  <si>
    <t>BAB: Thông báo về việc thực hiện chuyển dữ liệu đăng ký, lưu ký cổ phiếu BAB từ thị trường đăng ký giao dịch tại HNX sang thị trường niêm yết tại HNX</t>
  </si>
  <si>
    <t>PPC: Tạm ứng cổ tức bằng tiền mặt lần 2 năm 2020</t>
  </si>
  <si>
    <t>PNJ: Đại hội đồng cổ đông thường niên năm 2021 và tạm ứng cổ tức đợt 2 năm 2020 bằng tiền</t>
  </si>
  <si>
    <t>PPP: Tạm ứng cổ tức năm 2020 và đại hội đồng cổ đông thường niên năm 2021</t>
  </si>
  <si>
    <t>ABI: Tổ chức Đại hội đồng cổ đông thường niên năm 2021 và tạm ứng cổ tức năm 2020 bằng tiền</t>
  </si>
  <si>
    <t>DBD: Tham dự Đại hội đồng cổ đông thường niên năm 2021 và tạm ứng cổ tức bằng tiền năm 2020.</t>
  </si>
  <si>
    <t>PDN: Tạm ứng cổ tức đợt 01 năm 2020 bằng tiền và tổ chức Đại hội đồng cổ đông thường niên năm 2021</t>
  </si>
  <si>
    <t>DT4: Tham dự Đại hội đồng cổ đông thường niên 2021 và tạm ứng chi trả cổ tức bằng tiền</t>
  </si>
  <si>
    <t>APH: Thực hiện quyền mua cổ phiếu</t>
  </si>
  <si>
    <t>TMP: Tạm ứng cổ tức đợt 1 năm 2020</t>
  </si>
  <si>
    <t>HBD: Đại hội đồng cổ đông thường niên năm 2021 và tạm ứng cổ tức năm 2020 bằng tiền</t>
  </si>
  <si>
    <t>HPB: Tổ chức Đại hội đồng cổ đông thường niên năm 2021 và tạm ứng cổ tức năm 2020 bằng tiền</t>
  </si>
  <si>
    <t>C4G: Chi trả cổ tức năm 2019 bằng cổ phiếu</t>
  </si>
  <si>
    <t>VC6: Tổ chức Đại hội đồng cổ đông thường niên năm 2021 và tạm ứng cổ tức năm 2020 bằng tiền</t>
  </si>
  <si>
    <t>QNS: Tạm ứng cổ tức đợt 2 năm 2020 bằng tiền</t>
  </si>
  <si>
    <t>PGN: Trả cổ tức năm 2019 bằng tiền và trả cổ tức năm 2019 bằng cổ phiếu</t>
  </si>
  <si>
    <t>HHP: Thông báo về việc chuyển dữ liệu đăng ký, lưu ký chứng khoán HHP từ thị trường niêm yết HNX sang thị trường niêm yết HOSE</t>
  </si>
  <si>
    <t>DAD: Tổ chức tham dự Đại hội đồng cổ đông thường niên năm 2021 và tạm ứng cổ tức bằng tiền mặt năm 2020</t>
  </si>
  <si>
    <t>NVL: Thay đổi thời gian chuyển nhượng  quyền mua, đăng ký đặt mua và nộp tiền mua cổ phiếu</t>
  </si>
  <si>
    <t>EID: Tạm ứng cổ tức năm 2020 bằng tiền mặt và tổ chức Đại hội đồng cổ đông thường niên năm 2021</t>
  </si>
  <si>
    <t>SFN: Tham dự họp Đại hội đồng cổ đông thường niên năm 2021 và tạm ứng cổ tức đợt 2 năm 2020 bằng tiền</t>
  </si>
  <si>
    <t>DSN: Chi trả cổ tức năm 2020 bằng tiền mặt</t>
  </si>
  <si>
    <t>T12: Thực hiện quyền mua cổ phiếu</t>
  </si>
  <si>
    <t>SHE: Chốt danh sách cổ  đông nhận tạm ứng cổ tức năm 2020 bằng tiền</t>
  </si>
  <si>
    <t>BDB: Tham dự đại hội đồng cổ  đông thường niên năm 2021 và  Tạm ứng cổ tức năm 2020</t>
  </si>
  <si>
    <t>VCM: Tổ chức Đại hội đồng cổ đông thường niên năm 2021 &amp; Tạm ứng cổ tức năm 2020 bằng tiền</t>
  </si>
  <si>
    <t>SPC: Tổ chức Đại hội đồng cổ đông thường niên năm 2021 và tạm ứng cổ tức bằng tiền mặt đợt 1 năm 2020</t>
  </si>
  <si>
    <t>DAE: Tổ chức Đại hội đồng cổ đông thường niên 2021 và tạm ứng cổ tức năm 2020 bằng tiền mặt</t>
  </si>
  <si>
    <t>MWG: Chuyển quyền sở hữu 800.000 cổ phiếu</t>
  </si>
  <si>
    <t>CCI: Tổ chức Đại hội đồng cổ đông thường niên năm 2021 và Tạm ứng cổ tức năm 2020 bằng tiền mặt</t>
  </si>
  <si>
    <t>HVH: Thay đổi thời gian thực hiện quyền mua cổ phiếu</t>
  </si>
  <si>
    <t>FUCTVGF1: Tạm ứng lợi tức bằng tiền mặt với tỷ lệ 20%</t>
  </si>
  <si>
    <t>NTH: Tạm ứng cổ tức năm 2020 bằng tiền</t>
  </si>
  <si>
    <t>LHC: Tạm ứng cổ tức đợt 2 năm 2020 bằng tiền</t>
  </si>
  <si>
    <t>DBT: Tham dự đại hội đồng cổ đông thường niên năm tài chính 2020 và chi tạm ứng cổ tức năm 2020 bằng tiền</t>
  </si>
  <si>
    <t>CIA: Chi trả cổ tức năm 2019 bằng tiền</t>
  </si>
  <si>
    <t>BUD: Chi tạm ứng cổ tức đợt 1 năm 2020</t>
  </si>
  <si>
    <t>SAB: Tạm ứng cổ tức năm 2020 bằng tiền</t>
  </si>
  <si>
    <t>MWG: Chuyển quyền sở hữu 250.000 cổ phiếu</t>
  </si>
  <si>
    <t>ADG: Thông báo về việc thực hiện chuyển dữ liệu đăng ký, lưu ký cổ phiếu ADG từ thị trường đăng ký giao dịch tại HNX sang thị trường niêm yết tại HOSE</t>
  </si>
  <si>
    <t>WSB: Chi tạm ứng cổ tức đợt 3 năm 2020 bằng tiền mặt và thực hiện quyền tham dự Đại Hội Đồng Cổ Đông thường niên 2021</t>
  </si>
  <si>
    <t>VMC: Thanh toán cổ tức năm 2019 bằng tiền mặt</t>
  </si>
  <si>
    <t>STD: Chi tạm ứng cổ tức đợt 1 năm 2020 bằng tiền</t>
  </si>
  <si>
    <t>BHN: Trả cổ tức năm 2018 và 2019 bằng tiền</t>
  </si>
  <si>
    <t>NT2: Tạm ứng cổ tức lần 1 năm 2020 bằng tiền</t>
  </si>
  <si>
    <t>DTV: Tạm ứng cổ tức đợt 1 năm 2020 bằng tiền &amp; Tổ chức Đại hội đồng cổ đông thường niên năm 2021</t>
  </si>
  <si>
    <t>PAN: Chi trả tạm ứng cổ tức năm 2020 bằng tiền</t>
  </si>
  <si>
    <t>BMP: Tạm ứng cổ tức đợt 2 năm 2020 bằng tiền mặt</t>
  </si>
  <si>
    <t>SGC: Chuyển quyền sở hữu 3.565.759 cổ phiếu</t>
  </si>
  <si>
    <t>PSD: Chi trả tạm ứng cổ tức đợt 1 năm 2020 bằng tiền</t>
  </si>
  <si>
    <t>CPC: Chi tạm ứng cổ tức đợt 1 năm 2020 bằng tiền</t>
  </si>
  <si>
    <t>NVL: Thay đổi thời gian chuyển nhượng quyền mua, đăng ký đặt mua và nộp tiền mua cổ phiếu</t>
  </si>
  <si>
    <t>CKH: Tổ chức Đại hội đồng cổ đông thường niên năm 2021 và tạm ứng cổ tức bằng tiền năm 2020</t>
  </si>
  <si>
    <t>VXT: Tạm ứng cổ tức bằng tiền lần 01 năm 2020</t>
  </si>
  <si>
    <t>MWG: Chuyển quyền sở hữu 200.000 cổ phiếu</t>
  </si>
  <si>
    <t>TBC: Tham dự Đại hội đồng cổ đông thường niên năm 2021 và tạm ứng cổ tức đợt 1 năm 2020 bằng tiền</t>
  </si>
  <si>
    <t>CDV: Tạm ứng đợt 1 cổ tức năm 2020 bằng tiền</t>
  </si>
  <si>
    <t>HTN: Thực hiện quyền mua cổ phiếu chào bán cho cổ đông hiện hữu</t>
  </si>
  <si>
    <t>TDB: Tạm ứng cổ tức đợt 2 năm 2020 bằng tiền</t>
  </si>
  <si>
    <t>MSB: Thực hiện quyền mua cổ phiếu quỹ</t>
  </si>
  <si>
    <t>DM7: Chi trả tạm ứng cổ tức năm 2020 bằng tiền</t>
  </si>
  <si>
    <t>CTF: Thay đổi thời gian thực hiện chuyển nhượng quyền mua và đặt mua cổ phiếu phát hành thêm</t>
  </si>
  <si>
    <t>VWS: Tạm ứng cổ tức năm 2020 bằng tiền</t>
  </si>
  <si>
    <t>DNH: Tạm ứng cổ tức bằng tiền mặt đợt 1 năm 2020</t>
  </si>
  <si>
    <t>CPW: Chi tạm ứng cổ tức năm 2020 bằng tiền</t>
  </si>
  <si>
    <t>CKG: Thực hiện quyền mua cho cổ đông hiện hữu</t>
  </si>
  <si>
    <t>MWG: Chuyển quyền sở hữu 600.000 cổ phiếu</t>
  </si>
  <si>
    <t>DHT: Chuyển quyền sở hữu 1.293.958 cổ phiếu</t>
  </si>
  <si>
    <t>SIV: Tạm ứng cổ tức năm 2020 bằng tiền.</t>
  </si>
  <si>
    <t>VCS: Chia cổ phiếu thưởng cho cổ đông hiện hữu từ nguồn cổ phiếu quỹ</t>
  </si>
  <si>
    <t>CAV: Tạm ứng cổ tức đợt 02 năm 2020 bằng tiền</t>
  </si>
  <si>
    <t>ABT: Chi tạm ứng cổ tức bằng tiền đợt 1 năm 2020</t>
  </si>
  <si>
    <t>DVP: Tạm ứng cổ tức năm 2020 bằng tiền mặt</t>
  </si>
  <si>
    <t>KOS: Điều chỉnh thời gian thực hiện quyền mua cổ phiếu</t>
  </si>
  <si>
    <t>MWG: Chuyển quyền sở hữu 150.000 cổ phiếu</t>
  </si>
  <si>
    <t>MWG: Chuyển quyền sở hữu 300.000 cổ phiếu</t>
  </si>
  <si>
    <t>MWG: Chuyển quyền sở hữu 628.000 cổ phiếu</t>
  </si>
  <si>
    <t>TN1: Thực hiện quyền mua cổ phiếu cho cổ đông hiện hữu</t>
  </si>
  <si>
    <t>PAS: Trả cổ tức năm 2019 bằng tiền và trả cổ tức năm 2019 bằng cổ phiếu</t>
  </si>
  <si>
    <t>NSL: Tạm ứng cổ tức đợt 2 năm 2020 bằng tiền</t>
  </si>
  <si>
    <t>HIG: Tạm ứng cổ tức năm 2021 bằng tiền</t>
  </si>
  <si>
    <t>TUG: Tạm ứng cổ tức năm 2020 bằng tiền</t>
  </si>
  <si>
    <t>MWG: Chuyển quyền sở hữu 425.000 cổ phiếu</t>
  </si>
  <si>
    <t>NHA: Thông báo về việc thực hiện chuyển dữ liệu đăng ký, lưu ký cổ phiếu NHA từ thị trường niêm yết HNX sang thị trường niêm yết HOSE</t>
  </si>
  <si>
    <t>S4A: Chi trả tạm ứng cổ tức đợt 1 năm 2020 bằng tiền</t>
  </si>
  <si>
    <t>DPM: Chi tạm ứng cổ tức bằng tiền đợt 1 năm 2020</t>
  </si>
  <si>
    <t>NVL: Thực hiện quyền mua cổ phiếu chào bán cho cổ đông hiện hữu</t>
  </si>
  <si>
    <t>GND: Chi trả tạm ứng cổ tức bằng tiền đợt 1 năm 2020</t>
  </si>
  <si>
    <t>MIG: Thông báo về việc thực hiện chuyển dữ liệu đăng ký, lưu ký cổ phiếu MIG từ thị trường đăng ký giao dịch UPCOM sang thị trường niêm yết HOSE</t>
  </si>
  <si>
    <t>TVB: Thực hiện quyền mua cổ phiếu và Tham dự đại hội đồng cổ đông thường niên năm 2021</t>
  </si>
  <si>
    <t>PGN: Thực hiện quyền mua cổ phiếu phát hành thêm cho cổ đông hiện hữu</t>
  </si>
  <si>
    <t>BST: Tạm ứng cổ tức năm 2020 bằng tiền</t>
  </si>
  <si>
    <t>BSH: Chi tạm ứng cổ tức lần 1 năm 2020 bằng tiền mặt</t>
  </si>
  <si>
    <t>KPF: Trả cổ tức bằng cổ phiếu năm 2019 và thực hiện quyền mua cổ phiếu</t>
  </si>
  <si>
    <t>DNW: Thực hiện quyền mua cổ phiếu phát hành thêm cho cổ đông hiện hữu</t>
  </si>
  <si>
    <t>HVH: Phát hành quyền mua cho cổ đông hiện hữu</t>
  </si>
  <si>
    <t>VNF: Thực hiện quyền mua cổ phiếu phát hành cho cổ đông hiện hữu</t>
  </si>
  <si>
    <t>HTC: Chi tạm ứng cổ tức bằng tiền đợt 3 năm 2020</t>
  </si>
  <si>
    <t>TOW: Mua cổ phiếu phát hành thêm.</t>
  </si>
  <si>
    <t>BCG: Thực hiện quyền mua cổ phiếu phát hành cho cổ đông hiện hữu</t>
  </si>
  <si>
    <t>CMV: Thực hiện quyền mua cổ phiếu cho cổ đông hiện hữu &amp; Chi trả cổ tức năm 2019 bằng tiền mặt</t>
  </si>
  <si>
    <t>FMC: Tạm ứng cổ tức bằng tiền mặt đợt 1 năm 2020 và thực hiện quyền mua cổ phiếu</t>
  </si>
  <si>
    <t>ND2: Chuyển quyền sở hữu 17.497.886 cổ phiếu</t>
  </si>
  <si>
    <t>IBD: Tạm ứng cổ tức năm 2020 bằng tiền</t>
  </si>
  <si>
    <t>SAM: Chào bán cổ phiếu thông qua việc thực hiện quyền mua cho cổ đông hiện hữu</t>
  </si>
  <si>
    <t>XDH: Chi trả hết cổ tức năm 2019 bằng tiền</t>
  </si>
  <si>
    <t>EVG: Thực hiện quyền mua cổ phiếu</t>
  </si>
  <si>
    <t>MSB: Thực hiện quyền mua cổ phiếu</t>
  </si>
  <si>
    <t>TNG: Tạm ứng cổ tức đợt 2 năm 2020 bằng tiền</t>
  </si>
  <si>
    <t>HU1: Trả cổ tức năm 2019 bằng tiền</t>
  </si>
  <si>
    <t>ICT: Chi trả cổ tức tạm ứng lần 1 năm 2020 bằng tiền</t>
  </si>
  <si>
    <t>HDG: Tạm ứng cổ tức đợt 1 năm 2020 bằng tiền mặt</t>
  </si>
  <si>
    <t>SDN: Tạm ứng cổ tức đợt 1 năm 2020 bằng tiền</t>
  </si>
  <si>
    <t>VXT: Đính chính tỷ lệ thực hiện quyền mua cổ phiếu</t>
  </si>
  <si>
    <t>VCG: Chi trả cổ tức năm 2019 và Tạm ứng cổ tức năm 2020 bằng tiền</t>
  </si>
  <si>
    <t>TCR: Chuyển quyền sở hữu 12.438.102 cổ phiếu</t>
  </si>
  <si>
    <t>DPH: Tạm ứng cổ tức năm 2020 bằng tiền</t>
  </si>
  <si>
    <t>VDS: Tạm ứng cổ tức năm 2020 bằng tiền</t>
  </si>
  <si>
    <t>NTL: Tạm ứng cổ tức năm 2020 bằng tiền mặt</t>
  </si>
  <si>
    <t>TRA: Tạm ứng cổ tức lần 1 năm 2020 bằng tiền</t>
  </si>
  <si>
    <t>BMJ: Chào bán cổ phiếu thông qua việc thực hiện quyền mua cho cổ đông hiện hữu</t>
  </si>
  <si>
    <t>PHN: Tạm ứng cổ tức đợt 2 năm 2020 bằng tiền</t>
  </si>
  <si>
    <t>SDG: Thực hiện quyền mua cổ phiếu cho cổ đông hiện hữu</t>
  </si>
  <si>
    <t>CDP: Tạm ứng cổ tức năm 2020 bằng tiền</t>
  </si>
  <si>
    <t>VIR: Chậm thanh toán cổ tức bằng tiền</t>
  </si>
  <si>
    <t>CTN: Chậm thanh toán cổ tức</t>
  </si>
  <si>
    <t>HNP: Tạm ứng cổ tức năm 2020 bằng tiền</t>
  </si>
  <si>
    <t>BWS: Tạm ứng cổ tức bằng tiền đợt 2 năm 2020</t>
  </si>
  <si>
    <t>TIP: Tạm ứng cổ tức năm 2020 bằng tiền</t>
  </si>
  <si>
    <t>NJC: Trả cổ tức năm 2019 bằng tiền</t>
  </si>
  <si>
    <t>STC: Tạm ứng cổ tức năm 2020 bằng tiền</t>
  </si>
  <si>
    <t>TLG: Tạm ứng cổ tức đợt 2 năm 2020 bằng tiền</t>
  </si>
  <si>
    <t>DNT: Chi tạm ứng cổ tức đợt 1 năm 2020 bằng tiền</t>
  </si>
  <si>
    <t>VSH: Chào bán cổ phiếu thông qua việc thực hiện quyền mua cho cổ đông hiện hữu</t>
  </si>
  <si>
    <t>VIX: Thông báo về việc thực hiện chuyển dữ liệu đăng ký, lưu ký cổ phiếu VIX từ thị trường niêm yết HNX sang thị trường niêm yết HOSE</t>
  </si>
  <si>
    <t>TPS: Chi cổ tức đợt cuối năm 2019 bằng tiền</t>
  </si>
  <si>
    <t>DGT: Thay đổi ngày thanh toán cổ tức lần 09</t>
  </si>
  <si>
    <t>LQN: Điều chỉnh thời gian tạm ứng cổ tức đợt 2 năm 2015 bằng tiền</t>
  </si>
  <si>
    <t>AMV: Trả cổ tức năm 2019 bằng cổ phiếu và chi trả cổ tức năm 2019 bằng tiền</t>
  </si>
  <si>
    <t>VXT: Thực hiện quyền mua cổ phiếu phát hành thêm cho cổ đông hiện hữu</t>
  </si>
  <si>
    <t>PPY: Chi cổ tức năm 2019 bằng cổ phiếu</t>
  </si>
  <si>
    <t>NSC: Chi cổ tức đợt 2 năm 2019 bằng tiền</t>
  </si>
  <si>
    <t>THP: Tạm ứng cổ tức năm 2020 bằng tiền</t>
  </si>
  <si>
    <t>MBB: Sử dụng cổ phiếu quỹ để chia cho cổ đông hiện hữu</t>
  </si>
  <si>
    <t>BSP: Tạm ứng cổ tức đợt 1 năm 2020 bằng tiền</t>
  </si>
  <si>
    <t>PME: Chuyển quyền sở hữu 9.182.961 cổ phiếu</t>
  </si>
  <si>
    <t>NHT: Tạm ứng cổ tức đợt 1 năm 2020 bằng tiền</t>
  </si>
  <si>
    <t>SMA: Trả cổ tức năm 2019 bằng cổ phiếu</t>
  </si>
  <si>
    <t>HAM: Chi trả tạm ứng cổ tức đợt 2 năm 2020 bằng tiền</t>
  </si>
  <si>
    <t>VEA: Trả cổ tức năm 2019 bằng tiền</t>
  </si>
  <si>
    <t>TCM: Lấy ý kiến cổ đông bằng văn bản và Tạm ứng cổ tức đợt 1 năm 2020</t>
  </si>
  <si>
    <t>CTG: Thay đổi ngày thanh toán cổ tức</t>
  </si>
  <si>
    <t>A32: Chi trả tạm ứng cổ tức đợt 1 năm 2020</t>
  </si>
  <si>
    <t>CCL: Thông báo thay đổi ngày thanh toán cổ tức năm 2019 bằng tiền</t>
  </si>
  <si>
    <t>VNT: Thực hiện quyền mua trái phiếu chuyển đổi</t>
  </si>
  <si>
    <t>QPH: Chi trả cổ tức năm 2019 bằng tiền</t>
  </si>
  <si>
    <t>SMN: Tạm ứng cổ tức năm 2020 bằng tiền</t>
  </si>
  <si>
    <t>DRL: Chi trả tạm ứng cổ tức đợt 3 năm 2020 bằng tiền</t>
  </si>
  <si>
    <t>DRL: Hủy Thông báo thực hiện quyền chi trả tạm ứng cổ tức đợt 3 năm 2020 bằng tiền</t>
  </si>
  <si>
    <t>SD3: Thay đổi ngày thanh toán cổ tức năm 2015 bằng tiền</t>
  </si>
  <si>
    <t>C47: Thực hiện quyền nhận cổ phiếu phát hành do thực hiện tăng vốn cổ phần từ nguồn vốn chủ sở hữu và chi trả cổ tức bằng cổ phiếu năm 2019</t>
  </si>
  <si>
    <t>SDT: Về việc thay đổi ngày thanh toán cổ tức</t>
  </si>
  <si>
    <t>BM9: Thay đổi ngày thanh toán cổ tức năm 2019 bằng tiền</t>
  </si>
  <si>
    <t>PVE: Thay đổi ngày thanh toán cổ tức năm 2016 bằng tiền</t>
  </si>
  <si>
    <t>QHD: Tạm ứng cổ tức năm 2020 bằng tiền</t>
  </si>
  <si>
    <t>NBT: Tạm ứng cổ tức đợt I năm 2020 bằng tiền</t>
  </si>
  <si>
    <t>BID: Trả cổ tức năm 2019 bằng tiền</t>
  </si>
  <si>
    <t>VTV: Thay đổi ngày thanh toán cổ tức</t>
  </si>
  <si>
    <t>THG: Tạm ứng cổ tức đợt 2 năm 2020 bằng tiền</t>
  </si>
  <si>
    <t>BVB: Chào bán cổ phiếu thông qua việc thực hiện quyền mua cho cổ đông hiện hữu</t>
  </si>
  <si>
    <t>DHP: Tạm ứng cổ tức năm 2020 bằng tiền</t>
  </si>
  <si>
    <t>TPS: Tạm ứng cổ tức năm 2020 bằng tiền</t>
  </si>
  <si>
    <t>PNC: Chi cổ tức bằng tiền năm 2019</t>
  </si>
  <si>
    <t>TTD: Chi tạm ứng cổ tức đợt 2 năm 2020 bằng tiền</t>
  </si>
  <si>
    <t>VCG: Thông báo về việc thực hiện chuyển dữ liệu đăng ký, lưu ký cổ phiếu VCG từ thị trường niêm yết HNX sang thị trường niêm yết HOSE</t>
  </si>
  <si>
    <t>DBT: Phát hành cổ phiếu để tăng vốn cổ phần từ nguồn vốn chủ sở hữu</t>
  </si>
  <si>
    <t>ASD: Thực hiện quyền mua cổ phiếu cho cổ đông hiện hữu</t>
  </si>
  <si>
    <t>MCM: Thực hiện quyền mua cổ phiếu</t>
  </si>
  <si>
    <t>FPT: Chuyển quyền sở hữu 594.000 cổ phiếu</t>
  </si>
  <si>
    <t>TLD: Trả cổ tức năm 2018 bằng cổ phiếu</t>
  </si>
  <si>
    <t>AMS: Trả cổ tức năm 2019 bằng cổ phiếu</t>
  </si>
  <si>
    <t>TCH: Tạm ứng cổ tức năm 2020 bằng tiền</t>
  </si>
  <si>
    <t>CRE: Phát hành cổ phiếu do thực hiện tăng vốn cổ phần từ nguồn vốn chủ sở hữu</t>
  </si>
  <si>
    <t>IDJ: Thực hiện quyền mua cổ phiếu</t>
  </si>
  <si>
    <t>SCI: Trả cổ tức năm 2019 bằng cổ phiếu và thực hiện quyền mua cổ phiếu phát hành cho cổ đông hiện hữu</t>
  </si>
  <si>
    <t>KOS: Trả cổ tức năm 2019 bằng cổ phiếu và thực hiện quyền mua cổ phiếu chào bán cho cổ đông hiện hữu</t>
  </si>
  <si>
    <t>SVI: Chuyển quyền sở hữu 12.076.587 cổ phiếu</t>
  </si>
  <si>
    <t>HND: Tạm ứng cổ tức đợt 1 năm 2020 bằng tiền</t>
  </si>
  <si>
    <t>DTK: Thông báo về việc thực hiện chuyển dữ liệu đăng ký, lưu ký cổ phiếu DTK từ thị trường đăng ký giao dịch tại UPCOM sang thị trường niêm yết tại HNX</t>
  </si>
  <si>
    <t>XMC: Chi trả cổ tức năm 2019 bằng tiền</t>
  </si>
  <si>
    <t>TAC: Chi tạm ứng cổ tức năm 2020 bằng tiền mặt</t>
  </si>
  <si>
    <t>CTF: Thực hiện quyền mua cổ phiếu</t>
  </si>
  <si>
    <t>PRE: Tham dự họp Đại hội đồng cổ đông bất thường và tạm ứng cổ tức lần thứ nhất năm 2020 bằng tiền.</t>
  </si>
  <si>
    <t>DHC: Tạm ứng cổ tức năm 2020 bằng tiền</t>
  </si>
  <si>
    <t>HFB: Tạm ứng chi trả cổ tức năm 2020 bằng tiền mặt</t>
  </si>
  <si>
    <t>VNM: Tạm ứng cổ tức đợt 02/2020 bằng tiền</t>
  </si>
  <si>
    <t>MDN: Tạm ứng cổ tức đợt 1 năm 2020 bằng tiền mặt</t>
  </si>
  <si>
    <t>PAI: Chi trả cổ tức năm 2019 bằng tiền</t>
  </si>
  <si>
    <t>HMH: Thanh toán cổ tức từ nguồn lợi nhuận đã thực hiện lũy kế đến 31/12/2019 bằng tiền</t>
  </si>
  <si>
    <t>DVC: Tạm ứng cổ tức đợt 1 năm 2020 bằng tiền</t>
  </si>
  <si>
    <t>TLP: Chi trả cổ tức năm 2019 bằng tiền</t>
  </si>
  <si>
    <t>VCC: Trả cổ tức năm 2019 bằng tiền</t>
  </si>
  <si>
    <t>APF: Tạm ứng cổ tức đợt 1 năm 2020 bằng tiền</t>
  </si>
  <si>
    <t>DNC: Tạm ứng cổ tức đợt 2 năm 2020 bằng tiền</t>
  </si>
  <si>
    <t>SMB: Chi tạm ứng cổ tức đợt 2 năm 2020 bằng tiền</t>
  </si>
  <si>
    <t>VCB: Trả cổ tức năm 2019 bằng tiền</t>
  </si>
  <si>
    <t>HPD: Tạm ứng cổ tức năm 2020 bằng tiền mặt</t>
  </si>
  <si>
    <t>LNC: Chi trả cổ tức năm 2019 bằng tiền</t>
  </si>
  <si>
    <t>GHC: Tạm ứng cổ tức đợt 2/2020 bằng tiền</t>
  </si>
  <si>
    <t>ICN: Tạm ứng cổ tức năm 2020 bằng tiền</t>
  </si>
  <si>
    <t>TBR: Chi trả cổ tức năm 2019 bằng tiền</t>
  </si>
  <si>
    <t>CDC: Phát hành cổ phiếu để tăng vốn cổ phần từ nguồn vốn chủ sở hữu</t>
  </si>
  <si>
    <t>VCI: Chi trả tạm ứng cổ tức đợt 1 năm 2020 bằng tiền</t>
  </si>
  <si>
    <t>SJS: Về việc thay đổi ngày thanh toán cổ tức</t>
  </si>
  <si>
    <t>CTG: Trả cổ tức năm 2019 bằng tiền</t>
  </si>
  <si>
    <t>MWG: Chuyển quyền sở hữu 400.000 cổ phiếu</t>
  </si>
  <si>
    <t>KTL: Trả cổ tức năm 2019 bằng tiền</t>
  </si>
  <si>
    <t>UIC: Tạm ứng cổ tức đợt 1 năm 2020 bằng tiền</t>
  </si>
  <si>
    <t>CLH: Tạm ứng cổ tức lần 01 năm 2020 bằng tiền</t>
  </si>
  <si>
    <t>TDM: Đại hội đồng cổ đông thường niên năm 2021 &amp; Tạm ứng cổ tức năm 2020 bằng tiền</t>
  </si>
  <si>
    <t>VIR: Chi trả cổ tức năm 2019 bằng tiền</t>
  </si>
  <si>
    <t>BDG: Tạm ứng cổ tức 40% đợt 1 của năm 2020 bằng tiền</t>
  </si>
  <si>
    <t>CMD: Chi trả tạm ứng cổ tức đợt 2 năm 2020 bằng tiền</t>
  </si>
  <si>
    <t>HCM: Tạm ứng cổ tức đợt 1 năm 2020 bằng tiền</t>
  </si>
  <si>
    <t>TTZ: Thay đổi ngày thanh toán cổ tức</t>
  </si>
  <si>
    <t>L44: Về việc thay đổi ngày thanh toán cổ tức</t>
  </si>
  <si>
    <t>PLC: Tạm ứng cổ tức năm 2020 bằng tiền</t>
  </si>
  <si>
    <t>BWE: Tham dự đại hội đồng cổ đông thường niên năm 2021 và tạm ứng cổ tức đợt 1 năm 2020 bằng tiền mặt</t>
  </si>
  <si>
    <t>PPC: Tạm ứng cổ tức bằng tiền mặt năm 2020</t>
  </si>
  <si>
    <t>VGG: Chi trả cổ tức năm 2019 bằng tiền</t>
  </si>
  <si>
    <t>VPD: Về việc không chuyển tiền thanh toán cổ tức</t>
  </si>
  <si>
    <t>GLT: Tạm ứng cổ tức năm 2020 đợt 1 bằng tiền</t>
  </si>
  <si>
    <t>TR1: Nhận cổ tức năm 2019 bằng tiền</t>
  </si>
  <si>
    <t>PGC: Tạm ứng cổ tức năm 2020 bằng tiền</t>
  </si>
  <si>
    <t>TQN: Chi trả cổ tức năm 2019 bằng tiền</t>
  </si>
  <si>
    <t>MSN: Chi trả cổ tức năm 2019 bằng tiền</t>
  </si>
  <si>
    <t>NKG: Tạm ứng cổ tức đợt 1 năm 2020 bằng tiền</t>
  </si>
  <si>
    <t>HBC: Chi trả cổ tức năm 2019 bằng tiền</t>
  </si>
  <si>
    <t>DGC: Tạm ứng cổ tức bằng tiền năm 2020</t>
  </si>
  <si>
    <t>HTI: Tạm ứng cổ tức năm 2020 bằng tiền</t>
  </si>
  <si>
    <t>BM9: Chi trả cổ tức năm 2019 bằng tiền</t>
  </si>
  <si>
    <t>TMS: Chi trả cổ tức năm 2019 bằng tiền và chi trả cổ tức năm 2019 bằng cổ phiếu</t>
  </si>
  <si>
    <t>KDF: Chi trả cổ tức đặc biệt bằng tiền và hoán đổi cổ phiếu</t>
  </si>
  <si>
    <t>TVB: Tạm ứng cổ tức đợt 1 năm 2020 bằng tiền</t>
  </si>
  <si>
    <t>CAV: Tạm ứng cổ tức năm 2020 bằng tiền</t>
  </si>
  <si>
    <t>BCF: Tạm ứng cổ tức bằng tiền đợt 2 năm 2020</t>
  </si>
  <si>
    <t>BTV: Chi trả cổ tức bằng tiền năm 2019</t>
  </si>
  <si>
    <t>MH3: Tạm ứng cổ tức năm 2020 bằng tiền</t>
  </si>
  <si>
    <t>TFC: Trả cổ tức năm 2019 bằng tiền</t>
  </si>
  <si>
    <t>DPR: Tạm ứng cổ tức năm 2020 bằng tiền mặt</t>
  </si>
  <si>
    <t>NTH: Chi trả cổ tức lần 3 năm 2019 bằng tiền</t>
  </si>
  <si>
    <t>PCC: Trả cổ tức đợt 2 năm 2019 bằng tiền</t>
  </si>
  <si>
    <t>MWG: Chuyển quyền sở hữu 590.060 cổ phiếu</t>
  </si>
  <si>
    <t>SEB: Tạm ứng cổ tức lần 03 năm 2020</t>
  </si>
  <si>
    <t>SCS: Tạm ứng cổ tức đợt 1 năm 2020 bằng tiền</t>
  </si>
  <si>
    <t>L18: Thực hiện quyền mua do chào bán cổ phiếu ra công chúng cho cổ đông hiện hữu</t>
  </si>
  <si>
    <t>DTB: Chi trả cổ tức năm 2019 bằng tiền</t>
  </si>
  <si>
    <t>BRR: Tạm ứng cổ tức đợt 1 năm 2020 bằng tiền mặt</t>
  </si>
  <si>
    <t>FOX: Tạm ứng cổ tức lần 2 năm 2020 bằng tiền</t>
  </si>
  <si>
    <t>FCN: Chi trả cổ tức năm 2019 bằng cổ phiếu</t>
  </si>
  <si>
    <t>TMG: Tạm ứng cổ tức bằng tiền năm 2020</t>
  </si>
  <si>
    <t>NSS: Chi trả tạm ứng cổ tức năm 2020 bằng tiền</t>
  </si>
  <si>
    <t>PHR: Tạm ứng cổ tức đợt 1 năm 2020 bằng tiền</t>
  </si>
  <si>
    <t>NLG: Tạm ứng cổ tức bằng tiền đợt 1 năm 2020</t>
  </si>
  <si>
    <t>QNP: Chi trả cổ tức năm 2019 bằng tiền</t>
  </si>
  <si>
    <t>CEG: Chi trả cổ tức năm 2019 bằng tiền</t>
  </si>
  <si>
    <t>MWG: Chuyển quyền sở hữu 2.097.982 cổ phiếu</t>
  </si>
  <si>
    <t>FPT: Chuyển quyền sở hữu 155.500 cổ phiếu</t>
  </si>
  <si>
    <t>KDC: Tạm ứng cổ tức năm 2020 bằng tiền mặt</t>
  </si>
  <si>
    <t>TRC: Tạm ứng cổ tức bằng tiền mặt đợt 1 năm 2020</t>
  </si>
  <si>
    <t>SPH: Chi tạm ứng cổ tức lần 1 năm 2020 bằng tiền</t>
  </si>
  <si>
    <t>ACB: Thông báo về việc thực hiện chuyển dữ liệu đăng ký, lưu ký cổ phiếu ACB từ thị trường HNX sang thị trường HOSE</t>
  </si>
  <si>
    <t>PDT: Chi trả cổ tức năm 2019 bằng tiền</t>
  </si>
  <si>
    <t>BNA: Chi trả cổ tức năm 2019 bằng tiền</t>
  </si>
  <si>
    <t>FCN: Chi trả cổ tức năm 2019 bằng tiền</t>
  </si>
  <si>
    <t>IN4: Tạm ứng cổ tức đợt 1 năm 2020 bằng tiền</t>
  </si>
  <si>
    <t>MWG: Chuyển quyền sở hữu 377.783 cổ phiếu</t>
  </si>
  <si>
    <t>MXC: Cấp Giấy chứng nhận đăng ký cổ phiếu trúng đấu giá</t>
  </si>
  <si>
    <t>PGI: Tạm ứng cổ tức đợt 1 năm 2020 bằng tiền</t>
  </si>
  <si>
    <t>TCI: Thực hiện quyền mua cổ phiếu</t>
  </si>
  <si>
    <t>MWG: Chuyển quyền sở hữu 255.000 cổ phiếu</t>
  </si>
  <si>
    <t>MWG: Chuyển quyền sở hữu 6.452.541 cổ phiếu</t>
  </si>
  <si>
    <t>VCS: Tạm ứng cổ tức lần 1 năm 2020 bằng tiền</t>
  </si>
  <si>
    <t>THD: Thực hiện quyền mua cổ phiếu phát hành thêm</t>
  </si>
  <si>
    <t>RTB: Tạm ứng cổ tức năm 2020 bằng tiền</t>
  </si>
  <si>
    <t>DHT: Chi tạm ứng cổ tức đợt 2 năm 2020 bằng tiền mặt</t>
  </si>
  <si>
    <t>CVN: Trả cổ tức năm 2019 bằng cổ phiếu và trả cổ tức năm 2019 bằng tiền</t>
  </si>
  <si>
    <t>SEP: Tạm ứng cổ tức đợt 1 năm 2020 bằng tiền</t>
  </si>
  <si>
    <t>MVC: Trả cổ tức còn lại của các năm trước và cổ tức năm 2019 bằng tiền.</t>
  </si>
  <si>
    <t>THB: Chi cổ tức lần 2 bằng tiền năm 2019</t>
  </si>
  <si>
    <t>CTI: Thanh toán cổ tức năm 2019 bằng tiền</t>
  </si>
  <si>
    <t>NTC: Tạm ứng cổ tức năm 2020 bằng tiền và phát hành cổ phiếu tăng vốn cổ phần từ nguồn vốn chủ sở hữu</t>
  </si>
  <si>
    <t>SJD: Chi trả cổ tức bằng tiền năm 2019</t>
  </si>
  <si>
    <t>CE1: Chi trả cổ tức năm 2019 bằng tiền</t>
  </si>
  <si>
    <t>SBV: Chi trả cổ tức năm 2019 bằng tiền</t>
  </si>
  <si>
    <t>TTL: Trả cổ tức năm 2019 bằng tiền</t>
  </si>
  <si>
    <t>RCL: Chia cổ tức đợt 2 năm 2019 bằng tiền</t>
  </si>
  <si>
    <t>ISH: Thay đổi ngày chi trả cổ tức còn lại năm 2019 bằng tiền mặt</t>
  </si>
  <si>
    <t>NQB: Trả cổ tức năm 2019 bằng tiền</t>
  </si>
  <si>
    <t>CNX: Chi trả cổ tức năm 2019 bằng tiền</t>
  </si>
  <si>
    <t>API: Trả cổ tức năm 2019 bằng tiền</t>
  </si>
  <si>
    <t>HD6: Thông báo về việc thực hiện chuyển dữ liệu đăng ký, lưu ký chứng khoán HD6 từ thị trường Đại chúng chưa niêm yết sang thị trường đăng ký giao dịch (Upcom) tại Sở Giao dịch Chứng khoán Hà Nội (HNX)</t>
  </si>
  <si>
    <t>IHK: Thực hiện chi trả cổ tức năm 2019 bằng tiền mặt</t>
  </si>
  <si>
    <t>TA6: Chi trả cổ tức năm tài chính 2019 bằng tiền</t>
  </si>
  <si>
    <t>T12: Chi trả cổ tức năm 2019 bằng tiền</t>
  </si>
  <si>
    <t>AIC: Thực hiện quyền mua cổ phiếu</t>
  </si>
  <si>
    <t>LPB: Trả cổ tức năm 2019 bằng cổ phiếu</t>
  </si>
  <si>
    <t>QST: Thực hiện quyền mua cổ phiếu</t>
  </si>
  <si>
    <t>DBM: Chi tạm ứng cổ tức năm 2020 bằng tiền</t>
  </si>
  <si>
    <t>TPB: Trả cổ tức bằng cổ phiếu &amp; Nhận cổ phiếu phát hành do thực hiện tăng vốn từ nguồn vốn chủ sở hữu</t>
  </si>
  <si>
    <t>HEJ: Trả cổ tức năm 2019 bằng tiền mặt</t>
  </si>
  <si>
    <t>OPC: Chi trả tạm ứng cổ tức đợt 1/2020 bằng tiền</t>
  </si>
  <si>
    <t>QLT: Chi trả cổ tức năm 2019 bằng tiền</t>
  </si>
  <si>
    <t>NAU: Chi trả cổ tức năm 2019 bằng tiền mặt</t>
  </si>
  <si>
    <t>HDB: Trả cổ tức bằng cổ phiếu đợt 2 năm 2019</t>
  </si>
  <si>
    <t>SIP: Tạm ứng cổ tức đợt 1 năm 2020 bằng tiền</t>
  </si>
  <si>
    <t>HPP: Tạm ứng cổ tức năm 2020 bằng tiền</t>
  </si>
  <si>
    <t>CMW: Trả cổ tức năm 2019 bằng tiền</t>
  </si>
  <si>
    <t>ADP: Tạm ứng cổ tức đợt 3 cho năm tài chính năm 2020</t>
  </si>
  <si>
    <t>KIP: Trả cổ tức năm 2019 bằng tiền</t>
  </si>
  <si>
    <t>BBS: Chi trả cổ tức bằng tiền năm 2019</t>
  </si>
  <si>
    <t>MCT: Trả cổ tức năm 2019 bằng tiền</t>
  </si>
  <si>
    <t>HLD: Chi trả cổ tức năm 2019 bằng tiền</t>
  </si>
  <si>
    <t>HD2: Chi trả cổ tức năm 2019 bằng tiền</t>
  </si>
  <si>
    <t>RDP: Tổ chức họp Đại hội đồng cổ đông bất thường năm 2020 và Trả cổ tức năm 2019 bằng cổ phiếu</t>
  </si>
  <si>
    <t>CQN: Thực hiện quyền mua cổ phiếu</t>
  </si>
  <si>
    <t>ACC: Chi trả cổ tức năm 2019 bằng tiền</t>
  </si>
  <si>
    <t>FPT: Chuyển quyền sở hữu 1.000.000 cổ phiếu</t>
  </si>
  <si>
    <t>QTC: Trả cổ tức năm 2019 bằng tiền</t>
  </si>
  <si>
    <t>SAB: Tạm ứng cổ tức bằng tiền năm 2020</t>
  </si>
  <si>
    <t>HAN: Trả cổ tức năm 2019 bằng tiền</t>
  </si>
  <si>
    <t>MLS: Trả cổ tức năm 2016 bằng tiền</t>
  </si>
  <si>
    <t>PVC: Trả cổ tức năm 2019 bằng tiền</t>
  </si>
  <si>
    <t>D2D: Phát hành cổ phiếu để tăng vốn cổ phần từ nguồn vốn chủ sở hữu</t>
  </si>
  <si>
    <t>NNC: Chi tạm ứng cổ tức còn lại các năm trước</t>
  </si>
  <si>
    <t>PNJ: Tạm ứng cổ tức đợt 1 năm 2020 bằng tiền</t>
  </si>
  <si>
    <t>PVT: Chi trả cổ tức bằng tiền năm 2019 và phát hành cổ phiếu để chi trả cổ tức năm 2019</t>
  </si>
  <si>
    <t>HNT: Chi trả cổ tức bằng tiền mặt năm 2019</t>
  </si>
  <si>
    <t>PC1: Phát hành cổ phiếu để trả cổ tức năm 2019</t>
  </si>
  <si>
    <t>NAS: Trả cổ tức năm 2019 bằng tiền</t>
  </si>
  <si>
    <t>HCT: Chi trả  cổ tức năm 2019 bằng tiền</t>
  </si>
  <si>
    <t>PBC: Trả cổ tức năm 2019 bằng tiền</t>
  </si>
  <si>
    <t>XMD: Trả cổ tức năm 2019 bằng tiền</t>
  </si>
  <si>
    <t>SHP: Chi trả cổ tức năm 2019 bằng tiền</t>
  </si>
  <si>
    <t>CHS: Chi trả cổ tức đợt cuối năm 2019 (5,18%/cổ phiếu) và Tạm ứng chi trả cổ tức năm 2020 (3,5%/cổ phiếu) bằng tiền mặt</t>
  </si>
  <si>
    <t>VTV: Trả cổ tức năm 2019 bằng tiền</t>
  </si>
  <si>
    <t>VIB: Chốt danh sách cổ đông được hưởng quyền nhận cổ phiếu thưởng từ nguồn vốn chủ sở hữu để tăng vốn điều lệ</t>
  </si>
  <si>
    <t>IDV: Tham dự Đại hội đồng cổ đông thường niên năm 2021 và tạm ứng cổ tức bằng tiền lần 1 năm 2020</t>
  </si>
  <si>
    <t>PVS: Chi trả cổ tức năm 2019 bằng tiền</t>
  </si>
  <si>
    <t>LIX: Tạm ứng cổ tức năm 2020 bằng tiền mặt</t>
  </si>
  <si>
    <t>NSL: Nhận cổ phiếu phát hành do thực hiện tăng vốn cổ phần từ nguồn vốn chủ sở hữu</t>
  </si>
  <si>
    <t>MA1: Chi trả cổ tức năm 2019 bằng tiền</t>
  </si>
  <si>
    <t>HT1: Trả cổ tức năm 2019 bằng tiền mặt</t>
  </si>
  <si>
    <t>HVT: Chi trả tạm ứng cổ tức bằng tiền năm 2020</t>
  </si>
  <si>
    <t>VHF: Chi trả cổ tức năm 2019 bằng tiền</t>
  </si>
  <si>
    <t>TDP: Trả cổ tức bằng cổ phiếu năm 2019</t>
  </si>
  <si>
    <t>HJS: Chi trả cổ tức lần 3 năm 2019 bằng tiền</t>
  </si>
  <si>
    <t>POW: Chi trả cổ tức bằng tiền năm 2019</t>
  </si>
  <si>
    <t>C4G: Chi trả cổ tức đợt 2 năm 2018 bằng tiền</t>
  </si>
  <si>
    <t>BMJ: Trả cổ tức năm 2019 bằng tiền</t>
  </si>
  <si>
    <t>QTP: Trả cổ tức bằng tiền năm 2019</t>
  </si>
  <si>
    <t>THW: Chi trả cổ tức năm 2019 bằng tiền</t>
  </si>
  <si>
    <t>MWG: Chuyển quyền sở hữu  305.266 cổ phiếu</t>
  </si>
  <si>
    <t>HTC: Tạm ứng cổ tức đợt 2 năm 2020 bằng tiền</t>
  </si>
  <si>
    <t>VPR: Trả cổ tức năm 2019 bằng cổ phiếu</t>
  </si>
  <si>
    <t>SHI: Điều chỉnh ngày trả cổ tức</t>
  </si>
  <si>
    <t>HSL: Trả cổ tức năm 2018 bằng cổ phiếu</t>
  </si>
  <si>
    <t>V12: Chi trả cổ tức năm 2019 bằng tiền</t>
  </si>
  <si>
    <t>LAI: Trả cổ tức năm 2019 bằng tiền</t>
  </si>
  <si>
    <t>BCM: Chi trả cổ tức năm 2019 bằng tiền</t>
  </si>
  <si>
    <t>PTG: Tạm ứng cổ tức bằng tiền năm 2020</t>
  </si>
  <si>
    <t>ITS: Trả cổ tức năm 2019 bằng tiền</t>
  </si>
  <si>
    <t>QNW: Trả cổ tức năm 2019 bằng tiền</t>
  </si>
  <si>
    <t>TNW: Trả cổ tức năm 2019 bằng tiền</t>
  </si>
  <si>
    <t>TV4: Thanh toán cổ tức còn lại năm 2019 bằng tiền</t>
  </si>
  <si>
    <t>IJC: Chi trả cổ tức còn lại năm 2019 bằng tiền mặt</t>
  </si>
  <si>
    <t>MPY: Chi trả cổ tức năm 2019 bằng tiền</t>
  </si>
  <si>
    <t>VIB: Thông báo về việc chuyển dữ liệu đăng ký, lưu ký chứng khoán VIB từ thị trường đăng ký giao dịch tại HNX sang thị trường niêm yết tại HOSE</t>
  </si>
  <si>
    <t>SDC: Trả cổ tức năm 2018 bằng tiền</t>
  </si>
  <si>
    <t>ANV: Chi trả cổ tức đợt 2 năm 2019</t>
  </si>
  <si>
    <t>NS3: Trả cổ tức năm 2019 bằng cổ phiếu</t>
  </si>
  <si>
    <t>BSA: Chi trả cổ tức năm 2019 bằng tiền đợt 1</t>
  </si>
  <si>
    <t>TDA: Về việc thay đổi ngày thanh toán cổ tức</t>
  </si>
  <si>
    <t>SBA: Chi trả cổ tức năm 2019 bằng tiền</t>
  </si>
  <si>
    <t>PAC: Tạm ứng cổ tức bằng tiền đợt 1 năm 2020</t>
  </si>
  <si>
    <t>LHC: Tạm ứng cổ tức đợt 1 năm 2020 bằng tiền</t>
  </si>
  <si>
    <t>LBM: Tạm ứng cổ tức bằng tiền lần 1 năm 2020</t>
  </si>
  <si>
    <t>BMV: Chi trả cổ tức bằng tiền theo phương án phân phối lợi nhuận của Nghị quyết Đại hội đồng cổ đông thường niên năm 2020</t>
  </si>
  <si>
    <t>NHC: Tạm ứng cổ tức đợt 1 năm 2020 bằng tiền</t>
  </si>
  <si>
    <t>VPD: Chi trả cổ tức năm 2019 bằng tiền</t>
  </si>
  <si>
    <t>IDJ: Chi trả cổ tức năm 2019 bằng tiền</t>
  </si>
  <si>
    <t>HC3: Tạm ứng cổ tức đợt 1 năm 2020 bằng tiền</t>
  </si>
  <si>
    <t>ACC: Chào bán cổ phiếu thông qua việc thực hiện quyền mua cho cổ đông hiện hữu</t>
  </si>
  <si>
    <t>VE9: Chuyển dữ liệu đăng ký, lưu ký cổ phiếu VE9 từ thị trường HNX sang thị trường UPCOM</t>
  </si>
  <si>
    <t>G36: Trả cổ tức năm 2019 bằng cổ phiếu</t>
  </si>
  <si>
    <t>TKA: Chi trả cổ tức năm 2019 bằng tiền</t>
  </si>
  <si>
    <t>BFC: Chi trả tạm ứng cổ tức đợt 1 năm 2020 bằng tiền</t>
  </si>
  <si>
    <t>WSB: Chi tạm ứng cổ tức đợt 2 năm 2020 bằng tiền</t>
  </si>
  <si>
    <t>SGN: Trả cổ tức đợt 2 năm 2019 bằng tiền</t>
  </si>
  <si>
    <t>ITD: Thanh toán cổ tức năm 2019 bằng tiền</t>
  </si>
  <si>
    <t>TIX: Đại hội đồng cổ đông thường niên 2020 và tạm ứng cổ tức đợt 2 năm 2020 bằng tiền</t>
  </si>
  <si>
    <t>DRC: Tạm ứng cổ tức năm 2020 bằng tiền</t>
  </si>
  <si>
    <t>CMG: Chi trả cổ tức năm 2019 bằng tiền mặt</t>
  </si>
  <si>
    <t>PME: Chuyển quyền sở hữu 663.500 cổ phiếu</t>
  </si>
  <si>
    <t>HUB: Trả cổ tức năm 2019 bằng tiền và trả cổ phiếu thưởng do thực hiện tăng vốn cổ phần từ nguồn vốn chủ sở hữu</t>
  </si>
  <si>
    <t>M10: Chi trả cổ tức năm 2019 bằng tiền</t>
  </si>
  <si>
    <t>CDC: Chi trả cổ tức đợt cuối năm 2019 và Tạm ứng cổ tức đợt 1 năm 2020 bằng tiền mặt</t>
  </si>
  <si>
    <t>SHA: Chi trả cổ tức năm 2019 bằng tiền và trả cổ tức năm 2019 bằng cổ phiếu</t>
  </si>
  <si>
    <t>HTN: Chi trả cổ tức năm 2019 bằng tiền</t>
  </si>
  <si>
    <t>BXH: Trả cổ tức năm 2019 bằng tiền</t>
  </si>
  <si>
    <t>DS3: Về việc thay đổi ngày thanh toán cổ tức</t>
  </si>
  <si>
    <t>VNL: Tạm ứng cổ tức đợt 1 năm 2020 bằng tiền</t>
  </si>
  <si>
    <t>CSV: Chi trả tạm ứng cổ tức năm 2020 đợt 1 bằng tiền</t>
  </si>
  <si>
    <t>VTB: Chi trả cổ tức bằng tiền năm 2019 và tạm ứng cổ tức bằng tiền năm 2020</t>
  </si>
  <si>
    <t>GMX: Tạm ứng cổ tức đợt 1 năm 2020 bằng tiền</t>
  </si>
  <si>
    <t>CLC: Đại hội cổ đông bất thường năm 2020 và tạm ứng cổ tức đợt 1 năm 2020 bằng tiền</t>
  </si>
  <si>
    <t>SRA: Trả cổ tức năm 2019 bằng cổ phiếu và Trả cổ tức năm 2019 bằng tiền</t>
  </si>
  <si>
    <t>FPT: Chuyển quyền sở hữu 663.500 cổ phiếu</t>
  </si>
  <si>
    <t>MPC: Chi trả cổ tức năm 2019 bằng tiền</t>
  </si>
  <si>
    <t>PPS: Trả cổ tức năm 2019 bằng tiền</t>
  </si>
  <si>
    <t>SFC: Tổ chức đại hội cổ đông thường niên năm tài chính 2019-2020 và chi tạm ứng cổ tức đợt 1 năm 2019-2020 bằng tiền</t>
  </si>
  <si>
    <t>BPC: Trả cổ tức năm 2019 bằng tiền</t>
  </si>
  <si>
    <t>GDT: Tạm ứng cổ tức đợt 1/2020 bằng tiền mặt</t>
  </si>
  <si>
    <t>C32: Tạm ứng cổ tức Công ty đợt 1 năm 2020 bằng tiền</t>
  </si>
  <si>
    <t>PDR: Chi trả cổ tức bằng cổ phiếu cho cổ đông hiện hữu</t>
  </si>
  <si>
    <t>VNF: Chi trả cổ tức năm 2019 bằng tiền</t>
  </si>
  <si>
    <t>BTD: Trả cổ tức năm 2019 bằng tiền</t>
  </si>
  <si>
    <t>TTB: Trả cổ tức bằng cổ phiếu năm 2019</t>
  </si>
  <si>
    <t>EMS: Phát hành cổ phiếu để tăng vốn cổ phần từ nguồn vốn chủ sở hữu</t>
  </si>
  <si>
    <t>COM: Lấy ý kiến cổ đông bằng văn bản để điều chỉnh chỉ tiêu doanh thu năm 2020 và tạm ứng cổ tức năm 2020 bằng tiền tỷ lệ 20%.</t>
  </si>
  <si>
    <t>MGG: Chi trả cổ tức năm 2019 bằng tiền mặt</t>
  </si>
  <si>
    <t>TCO: Tạm ứng cổ tức đợt 1 năm 2020 bằng tiền</t>
  </si>
  <si>
    <t>LPB: Thông báo về việc chuyển dữ liệu đăng ký, lưu ký chứng khoán LPB từ thị trường đăng ký giao dịch tại HNX sang thị trường niêm yết tại HOSE</t>
  </si>
  <si>
    <t>DNP: Điều chỉnh thời gian chuyển nhượng quyền mua và đặt mua chứng khoán</t>
  </si>
  <si>
    <t>HU6: Chi cổ tức năm 2019 bằng tiền</t>
  </si>
  <si>
    <t>TDC: Chi trả cổ tức năm 2019 bằng tiền</t>
  </si>
  <si>
    <t>FIR: Trả cổ tức bằng cổ phiếu năm 2019</t>
  </si>
  <si>
    <t>NHH: Thực hiện quyền mua cổ phiếu</t>
  </si>
  <si>
    <t>TVH: Chi trả cổ tức năm 2019 bằng tiền</t>
  </si>
  <si>
    <t>VFG: Chi tạm ứng cổ tức đợt 01 năm 2020 bằng tiền mặt</t>
  </si>
  <si>
    <t>VHE: Trả cổ tức năm 2019 bằng cổ phiếu</t>
  </si>
  <si>
    <t>SHI: Trả cổ tức năm 2019 bằng tiền và bằng cổ phiếu</t>
  </si>
  <si>
    <t>BDG: Xin ý kiến cổ đông bằng văn bản để thông qua việc thay đổi tỷ lệ % chia cổ tức của năm 2020</t>
  </si>
  <si>
    <t>PSW: Nhận cổ tức năm 2019</t>
  </si>
  <si>
    <t>FIC: Chi trả cổ tức năm 2019 bằng tiền</t>
  </si>
  <si>
    <t>LTG: Chi trả cổ tức năm 2019 bằng tiền</t>
  </si>
  <si>
    <t>TIG: Trả cổ tức năm 2019 bằng cổ phiếu</t>
  </si>
  <si>
    <t>BIO: Chi trả cổ tức bằng tiền cho năm tài chính 2019</t>
  </si>
  <si>
    <t>DCG: Chi trả cổ tức năm 2019 bằng tiền</t>
  </si>
  <si>
    <t>LLM: Chi trả cổ tức năm 2019 bằng tiền</t>
  </si>
  <si>
    <t>NTP: Tạm ứng cổ tức bằng tiền đợt 1 năm 2020</t>
  </si>
  <si>
    <t>ISH: Chi cổ tức còn lại năm 2019 bằng tiền</t>
  </si>
  <si>
    <t>SMB: Chi trả tạm ứng cổ tức năm 2020 bằng tiền</t>
  </si>
  <si>
    <t>ITC: Chi trả cổ tức năm 2019 bằng cổ phiếu</t>
  </si>
  <si>
    <t>KSB: Trả cổ tức năm 2019 bằng cổ phiếu</t>
  </si>
  <si>
    <t>WTN: Chi trả cổ tức năm 2019 bằng tiền</t>
  </si>
  <si>
    <t>SD6: Đính chính ngày thanh toán cổ tức</t>
  </si>
  <si>
    <t>VPI: Trả cổ tức năm 2019 bằng cổ phiếu</t>
  </si>
  <si>
    <t>DAR: Chi trả cổ tức bằng tiền năm 2019</t>
  </si>
  <si>
    <t>DAS: Chi trả cổ tức năm 2019 bằng tiền</t>
  </si>
  <si>
    <t>HU3: Trả cổ tức bằng tiền năm 2019</t>
  </si>
  <si>
    <t>BAX: Tạm ứng cổ tức đợt 1 năm 2020</t>
  </si>
  <si>
    <t>DCM: Chi trả cổ tức năm 2019 bằng tiền</t>
  </si>
  <si>
    <t>BIC: Trả cổ tức năm 2019 bằng tiền</t>
  </si>
  <si>
    <t>SB1: Chi trả cổ tức năm 2019 bằng tiền</t>
  </si>
  <si>
    <t>MVB: Chuyển dữ liệu đăng ký, lưu ký cổ phiếu MVB từ thị trường đăng ký giao dịch tại HNX sang thị trường niêm yết tại HNX</t>
  </si>
  <si>
    <t>KHW: Thông báo về ngày thanh toán cổ tức năm 2018 bằng tiền</t>
  </si>
  <si>
    <t>DBH: Chi trả cổ tức năm 2019 bằng tiền</t>
  </si>
  <si>
    <t>CNC: Tạm ứng cổ tức năm 2020 bằng tiền</t>
  </si>
  <si>
    <t>ICC: Trả cổ tức năm 2019 bằng tiền</t>
  </si>
  <si>
    <t>VSC: Tạm ứng cổ tức đợt 1 năm 2020 bằng tiền</t>
  </si>
  <si>
    <t>TTT: Chi cổ tức năm 2019 bằng tiền</t>
  </si>
  <si>
    <t>MWG: Chuyển quyền sở hữu 1.000.000 cổ phiếu</t>
  </si>
  <si>
    <t>MWG: Chuyển quyền sở hữu 1.053.000 cổ phiếu</t>
  </si>
  <si>
    <t>HTL: Chi trả cổ tức bằng tiền mặt năm 2019</t>
  </si>
  <si>
    <t>QLD: Chi trả cổ tức năm 2019 bằng tiền</t>
  </si>
  <si>
    <t>ASP: Thanh toán cổ tức năm 2019 bằng tiền</t>
  </si>
  <si>
    <t>TCL: Chi trả cổ tức lần 3 năm 2019 bằng tiền</t>
  </si>
  <si>
    <t>TCT: Chi trả cổ tức năm 2019 bằng tiền</t>
  </si>
  <si>
    <t>PSN: Chi trả cổ tức năm 2019 bằng tiền</t>
  </si>
  <si>
    <t>TA9: Chi trả cổ tức năm 2019 bằng tiền</t>
  </si>
  <si>
    <t>FPT: Chuyển quyền sở hữu 552.920 cổ phiếu</t>
  </si>
  <si>
    <t>FPT: Chuyển quyền sở hữu 630.000 cổ phiếu</t>
  </si>
  <si>
    <t>MWG: Chuyển quyền sở hữu 1.250.000 cổ phiếu</t>
  </si>
  <si>
    <t>VMD: Chi trả cổ tức năm 2019 bằng tiền.</t>
  </si>
  <si>
    <t>CT3: Thay đổi ngày chi trả cổ tức bằng tiền mặt năm 2018</t>
  </si>
  <si>
    <t>TDA: Trả cổ tức bằng tiền mặt năm 2019</t>
  </si>
  <si>
    <t>BVH: Chi trả cổ tức năm tài chính 2019 bằng tiền</t>
  </si>
  <si>
    <t>CMP: Chi trả cổ tức năm 2019 bằng tiền</t>
  </si>
  <si>
    <t>QHW: Chi trả cổ tức năm 2019 bằng tiền</t>
  </si>
  <si>
    <t>CCA: Thông báo về việc chuyển tiền thanh toán cổ tức</t>
  </si>
  <si>
    <t>SBT: Chi trả cổ tức niên độ 2018-2019 bằng tiền</t>
  </si>
  <si>
    <t>PVP: Chi trả cổ tức năm 2019 bằng tiền</t>
  </si>
  <si>
    <t>FPT: Chuyển quyền sở hữu 1.150.400 cổ phiếu</t>
  </si>
  <si>
    <t>ARM: Phát hành cổ phiếu để tăng vốn cổ phần từ nguồn vốn chủ sở hữu</t>
  </si>
  <si>
    <t>TST: Trả cổ tức năm 2018 bằng tiền</t>
  </si>
  <si>
    <t>TNG: Tạm ứng cổ tức đợt 1 năm 2020 bằng tiền</t>
  </si>
  <si>
    <t>DC4: Chuyển dữ liệu đăng ký, lưu ký cổ phiếu DC4 từ thị trường HNX sang thị trường HOSE</t>
  </si>
  <si>
    <t>AAA: Trả cổ tức năm 2019 bằng cổ phiếu</t>
  </si>
  <si>
    <t>VCF: Chi trả tạm ứng cổ tức năm 2020 bằng tiền</t>
  </si>
  <si>
    <t>HC1: Chi trả cổ tức năm 2019 bằng tiền</t>
  </si>
  <si>
    <t>SGB: Thông báo về thực hiện chuyển dữ liệu đăng ký, lưu ký cổ phiếu SGB từ thị trường DCCNY sang thị trường UPCOM</t>
  </si>
  <si>
    <t>SGR: Chi trả cổ tức bằng tiền năm 2019 và trả cổ tức bằng cổ phiếu năm 2019</t>
  </si>
  <si>
    <t>TVS: Trả cổ tức bằng cổ phiếu năm 2019 và phát hành cổ phiếu để tăng vốn cổ phần từ nguồn chủ sở hữu</t>
  </si>
  <si>
    <t>CII: Chi trả cổ tức đợt 1 năm 2019 bằng tiền mặt</t>
  </si>
  <si>
    <t>DKC: Chi trả cổ tức năm 2019 bằng tiền</t>
  </si>
  <si>
    <t>HD8: Chi trả cổ tức năm 2019 bằng tiền</t>
  </si>
  <si>
    <t>PVM: Thực hiện lấy ý kiến cổ đông bằng văn bản và chi trả cổ tức năm 2019 bằng tiền</t>
  </si>
  <si>
    <t>GEM: Chi trả tạm ứng cổ tức lần 1 năm 2020 bằng tiền</t>
  </si>
  <si>
    <t>D11: Chia cổ tức bằng tiền năm 2019</t>
  </si>
  <si>
    <t>PSE: Chi trả cổ tức bằng tiền năm 2019</t>
  </si>
  <si>
    <t>TSP119001: Thông báo về thực hiện chuyển dữ liệu đăng ký, lưu ký trái phiếu TSP119001 từ thị trường HNX sang thị trường ĐCCNY</t>
  </si>
  <si>
    <t>PEN: Chi trả cổ tức năm 2019 bằng tiền và lấy ý kiến cổ đông bằng văn bản</t>
  </si>
  <si>
    <t>DHA: Tạm ứng cổ tức đợt 2 năm 2020 bằng tiền</t>
  </si>
  <si>
    <t>E29: Chi trả cổ tức năm 2019 bằng tiền</t>
  </si>
  <si>
    <t>TCB: Chuyển quyền sở hữu 439.000 cổ phiếu</t>
  </si>
  <si>
    <t>BVS: Thanh toán cổ tức bằng tiền năm 2019</t>
  </si>
  <si>
    <t>NRC: Chi trả cổ tức năm 2019 bằng cổ phiếu</t>
  </si>
  <si>
    <t>HII: Trả cổ tức năm 2019 bằng cổ phiếu</t>
  </si>
  <si>
    <t>THI: Chi trả cổ tức còn lại năm 2019 bằng tiền</t>
  </si>
  <si>
    <t>HCC: Trả cổ tức năm 2019 bằng tiền</t>
  </si>
  <si>
    <t>NQN: Chi trả cổ tức năm 2019 bằng tiền</t>
  </si>
  <si>
    <t>TMX: Trả cổ tức năm 2019 bằng tiền mặt</t>
  </si>
  <si>
    <t>MWG: Chuyển quyền sở hữu cổ phiếu</t>
  </si>
  <si>
    <t>SLS: Chi trả cổ tức năm 2019 - 2020 bằng tiền</t>
  </si>
  <si>
    <t>SBC: Chi trả cổ tức năm 2019 bằng tiền</t>
  </si>
  <si>
    <t>MWG: Chi trả cổ tức bằng tiền năm 2019</t>
  </si>
  <si>
    <t>LAW: Chi trả cổ tức năm 2019 bằng tiền</t>
  </si>
  <si>
    <t>DMC: Chi trả cổ tức năm 2019 bằng tiền</t>
  </si>
  <si>
    <t>SMC: Tạm ứng cổ tức đợt 1 năm 2020 bằng tiền</t>
  </si>
  <si>
    <t>CCL: Trả cổ tức năm 2019 bằng tiền</t>
  </si>
  <si>
    <t>L12: Trả cổ tức năm 2019 bằng tiền</t>
  </si>
  <si>
    <t>QNC: Chuyển dữ liệu đăng ký, lưu ký cổ phiếu QNC từ thị trường HNX sang thị trường UPCOM</t>
  </si>
  <si>
    <t>PHC: Chi trả cổ tức năm 2019 bằng tiền</t>
  </si>
  <si>
    <t>HLE: Chi trả cổ tức năm 2019 bằng tiền</t>
  </si>
  <si>
    <t>HNE: Chi trả cổ tức năm 2019 bằng tiền</t>
  </si>
  <si>
    <t>VHC: Tạm ứng cổ tức năm 2020</t>
  </si>
  <si>
    <t>C21: Thanh toán cổ tức năm 2019 bằng tiền</t>
  </si>
  <si>
    <t>CC4: Chuyển quyền sở hữu cổ phiếu</t>
  </si>
  <si>
    <t>TXM: Trả cổ tức năm 2019 bằng tiền</t>
  </si>
  <si>
    <t>SPC: Lấy ý kiến cổ đông bằng văn bản và Chi trả cổ tức bằng tiền còn lại năm 2019 (đợt 2).</t>
  </si>
  <si>
    <t>BMP: Tạm ứng cổ tức đợt 1 năm 2020 bằng tiền mặt</t>
  </si>
  <si>
    <t>SLD: Chi trả cổ tức  năm 2019 bằng cổ phiếu</t>
  </si>
  <si>
    <t>SSE: Chi trả cổ tức bằng tiền đợt 4 bổ sung năm 2019 và tạm ứng cổ tức bằng tiền đợt 1 năm 2020</t>
  </si>
  <si>
    <t>MBB: Trả cổ tức năm 2019 bằng cổ phiếu</t>
  </si>
  <si>
    <t>SNZ: Chi trả cổ tức còn lại năm 2019 bằng tiền</t>
  </si>
  <si>
    <t>GHC: Chi trả cổ tức còn lại của năm 2019 (tỷ lệ: 5%) và tạm ứng cổ tức đợt 1/2020 (tỷ lệ: 5%): 10% bằng tiền</t>
  </si>
  <si>
    <t>VET: Trả cổ tức bằng tiền năm 2019 và lấy ý kiến cổ đông bằng văn bản</t>
  </si>
  <si>
    <t>PHN: Tạm ứng cổ tức đợt 1 năm 2020 bằng tiền</t>
  </si>
  <si>
    <t>-  Tỷ lệ thực hiện: 100:5 (tại ngày chốt danh sách cổ đông để thực hiện quyền, cổ đông sở hữu 100 cổ phiếu sẽ được nhận 5 cổ phiếu mới)
- Tỷ lệ thực hiện: 5%/cổ phiếu (01 cổ phiếu được nhận 500 đồng)</t>
  </si>
  <si>
    <t>- Tỷ lệ thực hiện: 100 : 8 (Người sở hữu 100 cổ phiếu được nhận thêm 08 cổ phiếu mới)</t>
  </si>
  <si>
    <t>+ Tỷ lệ thực hiện: 01 cổ phiếu – 01 quyền biểu quyết
+ Tỷ lệ thực hiện: 10%/mệnh giá (01 cổ phiếu được nhận 1.000 đồng)</t>
  </si>
  <si>
    <t>- Tỷ lệ thực hiện:12%/ cổ phiếu (01 cổ phiếu nhận được 1.200 đồng)</t>
  </si>
  <si>
    <t>+ Tỷ lệ thực hiện: 01 cổ phiếu – 01 quyền biểu quyết
+ Tỷ lệ thực hiện: 3%/cổ phiếu (01 cổ phiếu được nhận 300 đồng)</t>
  </si>
  <si>
    <t>- Tỷ lệ thực hiện: 60%/cổ phiếu (01 cổ phiếu được nhận 6.000 đồng)</t>
  </si>
  <si>
    <t>- Tỷ lệ thực hiện: 5%, tương đương tỷ lệ 20:1. Tại ngày chốt danh sách cổ đông để thực hiện quyền, cổ đông sở hữu 20 cổ phiếu cũ sẽ được nhận thêm 1 cổ phiếu mới.</t>
  </si>
  <si>
    <t>- Tỷ lệ thực hiện: 5,9%/cổ phiếu (01 cổ phiếu được nhận 590 đồng)</t>
  </si>
  <si>
    <t>- Tỷ lệ thực hiện: 10%/cổ phiếu (01 cổ phiếu được nhận 1.000 đồng)</t>
  </si>
  <si>
    <t>- Tỷ lệ thực hiện: 20%/cổ phiếu (01 cổ phiếu được nhận 2.000 đồng)</t>
  </si>
  <si>
    <t>- Tỷ lệ thực hiện: 11%/cổ phiếu (01 cổ phiếu được nhận 1.100 đồng)</t>
  </si>
  <si>
    <t>- Tỷ lệ thực hiện: 100:30 (Người sở hữu 100 cổ phiếu được nhận 30 cổ phiếu mới)</t>
  </si>
  <si>
    <t>- Tỷ lệ thực hiện: 1%/cổ phiếu (01 cổ phiếu được nhận 100 đồng)</t>
  </si>
  <si>
    <t>- Tỷ lệ thực hiện: 2%/cổ phiếu (01 cổ phiếu được nhận 200 đồng)</t>
  </si>
  <si>
    <t>- Tỷ lệ thực hiện: 3%/cổ phiếu (1 cổ phiếu được nhận 300 đồng).</t>
  </si>
  <si>
    <t>- Tỷ lệ thực hiện: 1,3%/cổ phiếu (01 cổ phiếu được nhận 130 đồng)</t>
  </si>
  <si>
    <t>- Tỷ lệ thực hiện: 25%/cổ phiếu (1 cổ phiếu được nhận 2.500 đồng)</t>
  </si>
  <si>
    <t>- Tỷ lệ thực hiện: 5% (Người sở hữu 20 cổ phiếu được nhận 1 cổ phiếu mới).</t>
  </si>
  <si>
    <t>- Tỷ lệ thực hiện: 8%/cổ phiếu (01 cổ phiếu được nhận 800 đồng)</t>
  </si>
  <si>
    <t>- Tỷ lệ thực hiện: 100:12 (Người sở hữu 100 cổ phiếu sẽ được nhận 12 cổ phiếu phát hành thêm)</t>
  </si>
  <si>
    <t>- Tỷ lệ thực hiện: 5%/cổ phiếu (01 cổ phiếu được nhận 500 đồng)</t>
  </si>
  <si>
    <t>- Tỷ lệ thực hiện: 3%/cổ phiếu (01 cổ phiếu được nhận 300 đồng)</t>
  </si>
  <si>
    <t>a.  Chi trả cổ tức đợt 2 năm 2020 bằng tiền
- Tỷ lệ thực hiện: 10%/cổ phiếu (01 cổ phiếu được nhận 1.000 đồng)
- Tỷ lệ thực hiện: 1:1 (01 cổ phiếu – 1 quyền biểu quyết)</t>
  </si>
  <si>
    <t>- Tỷ lệ thực hiện: 1:0,1 (Người sở hữu 100 cổ phiếu được nhận 10 cổ phiếu mới)</t>
  </si>
  <si>
    <t>- Tỷ lệ thực hiện: 1,55%/cổ phiếu (01 cổ phiếu được nhận 155 đồng)</t>
  </si>
  <si>
    <t>- Tỷ lệ thực hiện: 12%/cổ phiếu (01 cổ phiếu được nhận 1.200 đồng)</t>
  </si>
  <si>
    <t>- Tỷ lệ thực hiện: 22%/cổ phiếu (01 cổ phiếu được nhận 2.200 đồng)</t>
  </si>
  <si>
    <t>1.1.     Chi trả cổ tức năm 2020 bằng tiền
- Tỷ lệ thực hiện: 5%/cổ phiếu (01cổ phiếu được nhận 500 đồng)
1.2.     Chi trả cổ tức năm 2020 bằng cổ phiếu
- Tỷ lệ thực hiện: 15% tương đương 100:15 (Người sở hữu 100 cổ phiếu được nhận 15 cổ phiếu mới).</t>
  </si>
  <si>
    <t>-     Tỷ lệ thực hiện: 05%/cổ phiếu (01 cổ phiếu được nhận 500 đồng)</t>
  </si>
  <si>
    <t>- Tỷ lệ thực hiện: 6%/cổ phiếu (01 cổ phiếu được nhận 600 đồng)</t>
  </si>
  <si>
    <t>- Tỷ lệ thực hiện: 5,5%/ cổ phiếu (01 cổ phiếu nhận được 550 đồng)</t>
  </si>
  <si>
    <t>- Tỷ lệ thực hiện:34,34%/cổ phiếu (1 cổ phiếu được nhận 3.434 đồng)</t>
  </si>
  <si>
    <t>- Tỷ lệ thực hiện :  10%/cổ phiếu (01 cổ phiếu được nhận 1.000 đồng)</t>
  </si>
  <si>
    <t>-     Tỷ lệ thực hiện: 15%/cổ phiếu (01 cổ phiếu được nhận 1.500 đồng)</t>
  </si>
  <si>
    <t>- Tỷ lệ thực hiện:5% (người sở hữu 100 cổ phiếu được nhận 05 cổ phiếu mới)</t>
  </si>
  <si>
    <t>- Tỷ lệ thực hiện: 15%/cổ phiếu (01 cổ phiếu được nhận 1.500 đồng)</t>
  </si>
  <si>
    <t>- Tỷ lệ thực hiện: 100:50 (người sở hữu 100 cổ phiếu được nhận 50 cổ phiếu mới)</t>
  </si>
  <si>
    <t>- Tỷ lệ thực hiện:05%/cổ phiếu (01 cổ phiếu được nhận 500 đồng)</t>
  </si>
  <si>
    <t>- Tỷ lệ thực hiện: 2,65%/cổ phiếu (01 cổ phiếu nhận được 265 đồng)</t>
  </si>
  <si>
    <t>- Tỷ lệ thực hiện: 12,3%/cổ phiếu (01 cổ phiếu được nhận 1.230 đồng)</t>
  </si>
  <si>
    <t>- Tỷ lệ thực hiện: 7%/cổ phiếu (01 cổ phiếu được nhận 700 đồng)</t>
  </si>
  <si>
    <t>- Tỷ lệ thực hiện:5%/cổ phiếu (01 cổ phiếu được nhận 500 đồng)</t>
  </si>
  <si>
    <t>- Tỷ lệ thực hiện: 3%/cổ phiếu (01 cổ phiếu nhận được 300 đồng)</t>
  </si>
  <si>
    <t>- Tỷ lệ thực hiện:3%/cổ phiếu (1 cổ phiếu được nhận 300 đồng)</t>
  </si>
  <si>
    <t>- Tỷ lệ thực hiện:15%/cổ phiếu (01 cổ phiếu được nhận 1.500 đồng)</t>
  </si>
  <si>
    <t>1. Chi trả cổ tức năm 2020 bằng tiền:
- Tỷ lệ thực hiện:15%/cổ phiếu (01 cổ phiếu được nhận 1.500 đồng)
2. Chi trả cổ tức năm 2020 bằng cổ phiếu:
- Tỷ lệ thực hiện:1000:300 (Người sở hữu 1000 cổ phiếu được nhận 300 cổ phiếu mới)</t>
  </si>
  <si>
    <t>- Tỷ lệ thực hiện:20%/cổ phiếu (01 cổ phiếu được nhận 2.000 đồng)</t>
  </si>
  <si>
    <t>- Tỷ lệ thực hiện: 10%/cổ phiếu (01 cổ phiếu nhận được 1.000 đồng)</t>
  </si>
  <si>
    <t>- Tỷ lệ thực hiện: 6,46%/cổ phiếu (01 cổ phiếu được nhận 646 đồng)</t>
  </si>
  <si>
    <t>- Tỷ lệ thực hiện: 20%/cổ phiếu (1 cổ phiếu được nhận 2.000 đồng)</t>
  </si>
  <si>
    <t>a. Chi trả cổ tức năm 2020 bằng tiền.
- Tỷ lệ thực hiện: 10%/cổ phiếu (01 cổ phiếu được nhận 1.000 đồng)
- Tỷ lệ thực hiện: 1 cổ phiếu – 1 quyền biểu quyết</t>
  </si>
  <si>
    <t>- Tỷ lệ thực hiện: 10%/cổ phiếu (Người sở hữu 10 cổ phiếu được nhận 01 cổ phiếu mới)
- Tỷ lệ thực hiện: 100:95 (100 cổ phiếu được hưởng 100 quyền, 100 quyền được mua 95 cổ phiếu mới)</t>
  </si>
  <si>
    <t>- Tỷ lệ thực hiện: 28,5%/cổ phiếu (01 cổ phiếu được nhận 2.850 đồng)</t>
  </si>
  <si>
    <t>- Tỷ lệ thực hiện: 10%/cổ phiếu (1 cổ phiếu được nhận 1.000 đồng)</t>
  </si>
  <si>
    <t>- Tỷ lệ thực hiện: 20:1 (người sở hữu 20 cổ phiếu được nhận 01 cổ phiếu mới)
- Tỷ lệ thực hiện: 2:1 (01 cổ phiếu được hưởng 01 quyền mua, 02 quyền mua được mua 01 cổ phiếu mới)</t>
  </si>
  <si>
    <t>- Tỷ lệ thực hiện: 12,5%/cổ phiếu (01 cổ phiếu được nhận 1.250 đồng)
- Tỷ lệ thực hiện: 1:1 (1 cổ phiếu – 1 quyền biểu quyết)</t>
  </si>
  <si>
    <t>- Tỷ lệ thực hiện: 10%/cổ phiếu (01 cổ phiếu được nhận 1.000 đồng).</t>
  </si>
  <si>
    <t>- Tỷ lệ thực hiện: 6% (người sở hữu 100 cổ phiếu được nhận 06 cổ phiếu mới)</t>
  </si>
  <si>
    <t>- Tỷ lệ thực hiện: 15%/cổ phiếu (1 cổ phiếu được nhận 1.500 đồng).</t>
  </si>
  <si>
    <t>Tỷ lệ thực hiện: 100:15 (Người sở hữu 100 cổ phiếu được nhận 15 cổ phiếu mới)</t>
  </si>
  <si>
    <t>Tỷ lệ thực hiện: 60%/cổ phiếu (01 cổ phiếu được nhận 6.000 đồng)</t>
  </si>
  <si>
    <t>- Tỷ lệ thực hiện: 20%/mệnh giá (01 cổ phiếu được nhận 2.000 đồng)</t>
  </si>
  <si>
    <t>- Tỷ lệ thực hiện: 1:1 (1 cổ phiếu – 1 quyền biểu quyết)
- Tỷ lệ thực hiện: 3,9%/cổ phiếu (01 cổ phiếu được nhận 390 đồng)</t>
  </si>
  <si>
    <t>- Tỷ lệ thực hiện:10%/cổ phiếu (01 cổ phiếu được nhận 1.000 đồng)</t>
  </si>
  <si>
    <t>- Tỷ lệ thực hiện: 30%/cổ phiếu  (01 cổ phiếu được nhận 3.000 đồng)</t>
  </si>
  <si>
    <t>-  Tỷ lệ thực hiện:8%/cổ phiếu (01 cổ phiếu được nhận 800 đồng).</t>
  </si>
  <si>
    <t>- Tỷ lệ thực hiện: 5%/cổ phiếu ( 01 cổ phiếu được nhận 500 đồng)</t>
  </si>
  <si>
    <t>-  Tỷ lệ thực hiện: 05%/cổ phiếu (01 cổ phiếu được nhận 500 đồng)</t>
  </si>
  <si>
    <t>- Tỷ lệ thực hiện: 29,8%/cổ phiếu (01 cổ phiếu được nhận 2.980 đồng)</t>
  </si>
  <si>
    <t>- Tỷ lệ thực hiện:100:15 (Người sở hữu 100 cổ phiếu được nhận 15 cổ phiếu mới)
  - Tỷ lệ thực hiện: 1:1 (01 cổ phiếu sẽ được hưởng 01 quyền mua, 01 quyền được mua 01 cổ phiếu mới)</t>
  </si>
  <si>
    <t xml:space="preserve">Tỷ lệ thực hiện:   10:1 (Người sở hữu 10 cổ phiếu nhận được 01 cổ phiếu mới). </t>
  </si>
  <si>
    <t>- Tỷ lệ thực hiện: 7,4%/cổ phiếu (01 cổ phiếu được nhận 740 đồng)</t>
  </si>
  <si>
    <t>- Tỷ lệ thực hiện: 2:1 (01 cổ phiếu được hưởng 01 quyền, cứ 2 quyền mua sẽ được mua thêm 1 cổ phiếu mới)</t>
  </si>
  <si>
    <t>- Tỷ lệ thực hiện: 5% (01 cổ phiếu được nhận 500 đồng)
+ Tỷ lệ thực hiện: 1:1 (01 cổ phiếu được hưởng 01 quyền, 01 quyền được mua 01 cổ phiếu mới)</t>
  </si>
  <si>
    <t>- Tỷ lệ thực hiện: 5%/cổ phiếu ( 01cổ phiếu được nhận 500 đồng)</t>
  </si>
  <si>
    <t>- Tỷ lệ thực hiện: 1:0,15 (Người sở hữu 01 cổ phiếu được nhận thêm 0,15 cổ phiếu mới)</t>
  </si>
  <si>
    <t>- Tỷ lệ thực hiện: 15% (Người sở hữu 100 cổ phiếu được nhận 15 cổ phiếu mới)
- Tỷ lệ thực hiện: 3,016% (Người sở hữu 100.000 cổ phiếu được nhận 3.016 cổ phiếu mới)</t>
  </si>
  <si>
    <t>- Tỷ lệ thực hiện: 10:1 (cổ đông sở hữu 10 cổ phiếu sẽ được nhận thêm 01 cổ phiếu mới)</t>
  </si>
  <si>
    <t>- Tỷ lệ thực hiện: 4%/cổ phiếu (01 cổ phiếu được nhận 400 đồng)</t>
  </si>
  <si>
    <t>- Tỷ lệ thực hiện: 2:1</t>
  </si>
  <si>
    <t>- Tỷ lệ thực hiện: 3%/cổ phiếu (300đ/cổ phiếu)</t>
  </si>
  <si>
    <t>2. Chi trả cổ tức năm 2020 bằng tiền:
- Tỷ lệ thực hiện: 5%/cổ phiếu (01 cổ phiếu được nhận 500 đồng)</t>
  </si>
  <si>
    <t>- Tỷ lệ thực hiện: 100:5 (người sở hữu 100 cổ phiếu được nhận 05 cổ phiếu mới)
+ Tỷ lệ thực hiện: 3:2 (01 cổ phiếu được hưởng 01 quyền, 03 quyền được mua 02 cổ phiếu mới)</t>
  </si>
  <si>
    <t>- Tỷ lệ thực hiện: 9%/cổ phiếu (01 cổ phiếu được nhận 900 đồng)</t>
  </si>
  <si>
    <t>- Tỷ lệ thực hiện: 15% (người sở hữu 100 cổ phiếu được nhận 15 cổ phiếu mới)</t>
  </si>
  <si>
    <t>-Tỷ lệ thực hiện: 15%/cổ phiếu (01 cổ phiếu được nhận 1.500 đồng)</t>
  </si>
  <si>
    <t>- Tỷ lệ thực hiện: 25%/cổ phiếu (01 cổ phiếu được nhận 2.500 đồng)</t>
  </si>
  <si>
    <t>1.Chi trả cổ tức bằng tiền năm 2020
- Tỷ lệ thực hiện: 5%/cổ phiếu (01cổ phiếu được nhận 500 đồng)
2.Chi trả cổ tức bằng cổ phiếu năm 2020
- Tỷ lệ thực hiện: 2:1 (Cổ đông sở hữu 02 cổ phiếu tại thời điểm chốt danh sách cổ đông để phát hành sẽ nhận được 01 cổ phiếu phát hành thêm).</t>
  </si>
  <si>
    <t>- Tỷ lệ thực hiện: 08% (01 cổ phiếu được nhận 800 đồng)</t>
  </si>
  <si>
    <t>- Tỷ lệ thực hiện: 14%/vốn điều lệ (01 cổ phiếu được nhận 1.400 đồng)</t>
  </si>
  <si>
    <t>- Tỷ lệ thực hiện: 6,55%/cổ phiếu (01 cổ phiếu được nhận 655 đồng)</t>
  </si>
  <si>
    <t>a) Chi trả cổ tức năm 2020 bằng tiền
- Tỷ lệ thực hiện: 10%/cổ phiếu (01 cổ phiếu được nhận 1.000 đồng)
- Tỷ lệ thực hiện: 1:1 (Người sở hữu 01 cổ phiếu sẽ được nhận 01 cổ phiếu mới)</t>
  </si>
  <si>
    <t>- Tỷ lệ thực hiện: 10%/cổ phiếu (01 cổ phiếu được nhận 1.000 đ)</t>
  </si>
  <si>
    <t>Tỷ lệ thực hiện: 6:2 (Người sở hữu 06 cổ phiếu được nhận 02 cổ phiếu mới)
- Tỷ lệ thực hiện: 06:01</t>
  </si>
  <si>
    <t>- Tỷ lệ thực hiện: 4%/cổ phiếu (01 cổ phiếu được nhận 400 đồng)
- Tỷ lệ thực hiện: 100:4 (Người sở hữu 100 cổ phiếu được nhận 04 cổ phiếu mới)
     - Tỷ lệ thực hiện: 100:6 (01 cổ phiếu được hưởng 01 quyền, 100 quyền được mua 06 cổ phiếu mới)</t>
  </si>
  <si>
    <t>- Tỷ lệ thực hiện: 1:1 (01 cổ phiếu được hưởng 01 quyền mua, 1 quyền mua được mua 1 cổ phiếu mới)</t>
  </si>
  <si>
    <t>- Tỷ lệ thực hiện: 4:1 (1 cổ phiếu sẽ nhận được 1 quyền, 4 quyền sẽ được mua thêm 1 cổ phiếu mới)</t>
  </si>
  <si>
    <t>- Tỷ lệ thực hiện :  19% (01 cổ phiếu được nhận 1.900 đồng)</t>
  </si>
  <si>
    <t>- Tỷ lệ thực hiện:7%/cổ phiếu (01 cổ phiếu được nhận 700 đồng)</t>
  </si>
  <si>
    <t>- Tỷ lệ thực hiện:9%/cổ phiếu (01 cổ phiếu được nhận 900 đồng)</t>
  </si>
  <si>
    <t>- Tỷ lệ thực hiện: 100:7 (Người sở hữu 100 cổ phiếu được nhận 7 cổ phiếu mới)
- Tỷ lệ thực hiện: 100:13 (Người sở hữu 100 cổ phiếu được nhận 13 cổ phiếu mới)</t>
  </si>
  <si>
    <t>- Tỷ lệ thực hiện: 10:2(Người sở hữu 10 cổ phiếu được nhận 2 cổ phiếu mới).</t>
  </si>
  <si>
    <t>-  Tỷ lệ thực hiện:4%/cổ phiếu (01 cổ phiếu được nhận 400 đồng)</t>
  </si>
  <si>
    <t>- Tỷ lệ thực hiện: 12%/cổ phiếu (01 cổ phiếu được nhận 1.200 đồng)
- Tỷ lệ thực hiện: 100:5 (Người sở hữu 100 cổ phiếu được nhận 05 cổ phiếu mới)
- Tỷ lệ thực hiện: 2:1 (01 cổ phiếu được hưởng 01 quyền, 02 quyền được mua 01 cổ phiếu mới)</t>
  </si>
  <si>
    <t>- Tỷ lệ thực hiện :  10%/cổ phiếu (01 cổ phiếu được nhận 1.000 đ)</t>
  </si>
  <si>
    <t>Tỷ lệ thực hiện: 15%/cổ phiếu (01 cổ phiếu được nhận 1.500 đồng)</t>
  </si>
  <si>
    <t>-     Tỷ lệ thực hiện: 09:05</t>
  </si>
  <si>
    <t>- Tỷ lệ thực hiện:                    10%/cổ phiếu (01 cổ phiếu được nhận 1.000 đồng)</t>
  </si>
  <si>
    <t>- Tỷ lệ thực hiện:11%/cổ phần (01 cổ phiếu được nhận 1.100 đồng)</t>
  </si>
  <si>
    <t>- Tỷ lệ thực hiện: 10% (10:1) (cổ đông sở hữu 10 cổ phiếu được nhận thêm 1 cổ phiếu mới)</t>
  </si>
  <si>
    <t>- Tỷ lệ thực hiện: 5,06%/cổ phiếu (01 cổ phiếu được nhận 506 đồng)</t>
  </si>
  <si>
    <t>- Tỷ lệ thực hiện: 20% (5:1) (Người sở hữu 05 cổ phiếu được nhận 01 cổ phiếu mới)</t>
  </si>
  <si>
    <t>- Tỷ lệ thực hiện:6%/cổ phiếu (01 cổ phiếu được nhận 600 đồng)</t>
  </si>
  <si>
    <t>- Tỷ lệ thực hiện: 100:16 (Người sở hữu 100 cổ phiếu được nhận 16 cổ phiếu mới)</t>
  </si>
  <si>
    <t>- Tỷ lệ thực hiện: 1.000 : 124,9999297 (mỗi cổ đông hiện hữu sở hữu 1.000 cổ phần được nhận cổ tức bằng 124,9999297 cổ phần)</t>
  </si>
  <si>
    <t>- Tỷ lệ thực hiện: 10%/ cổ phiếu (01 cổ phiếu nhận được 1.000 đồng)</t>
  </si>
  <si>
    <t>- Tỷ lệ thực hiện: 27%/cổ phiếu (01 cổ phiếu được nhận 2.700 đồng)</t>
  </si>
  <si>
    <t>- Tỷ lệ thực hiện: 12%/ cổ phiếu (01 cổ phiếu được nhận 1.200 đồng)</t>
  </si>
  <si>
    <t>- Tỷ lệ thực hiện: 6% cổ phiếu ( 01 cổ phiếu được nhận 600 đồng)
Tỷ lệ thực hiện: 1:1 (01 cổ phiếu - 01 quyền biểu quyết )</t>
  </si>
  <si>
    <t>- Tỷ lệ thực hiện: 3,3%/cổ phiếu (01 cổ phiếu được nhận 330 đồng)</t>
  </si>
  <si>
    <t>- Tỷ lệ thực hiện: 36%/cổ phiếu (01 cổ phiếu được nhận 3.600 đồng)</t>
  </si>
  <si>
    <t>Tỷ lệ thực hiện: 5%/cổ phiếu (01 cổ phiếu được nhận 500 đồng).</t>
  </si>
  <si>
    <t>- Tỷ lệ thực hiện: 15%/cổ phiếu (01 cổ phiếu được nhận 1.500 đồng)
- Tỷ lệ thực hiện: 100:15, tức là cổ đông sở hữu 100 cổ phiếu tại ngày chốt danh sách cổ đông thì được nhận 15 cổ phiếu mới.</t>
  </si>
  <si>
    <t>- Tỷ lệ thực hiện: 100:25 (Tại ngày chốt danh sách cổ đông để thực hiện quyền, cổ đông nắm giữ 100 cổ phiếu sẽ được nhận 25 cổ phiếu phát hành thêm).</t>
  </si>
  <si>
    <t>- Tỷ lệ thực hiện: 5%/cổ phiếu (01 cổ phiếu được nhận 500 đồng)
- Tỷ lệ thực hiện: 10% (người sở hữu 100 cổ phiếu được nhận 10 cổ phiếu mới)</t>
  </si>
  <si>
    <t>- Tỷ lệ thực hiện: 1:2 (01 cổ phiếu được hưởng 01 quyền, 1 quyền được mua 2 cổ phiếu mới)</t>
  </si>
  <si>
    <t>- Tỷ lệ thực hiện:1000:63 (Người sở hữu 1000 cổ phiếu được nhận 63 cổ phiếu mới)</t>
  </si>
  <si>
    <t>- Tỷ lệ thực hiện: 14,7%/cổ phiếu (01 cổ phiếu được nhận 1.470 đồng)</t>
  </si>
  <si>
    <t>-  Tỷ lệ thực hiện: 1:1</t>
  </si>
  <si>
    <t>- Tỷ lệ thực hiện: 5%/cổ phiếu (01 cổ phiếu được nhận 500 đồng).</t>
  </si>
  <si>
    <t>- Tỷ lệ thực hiện: 4%/cổ phiếu (01cổ phiếu được nhận 400 đồng)</t>
  </si>
  <si>
    <t>- Tỷ lệ thực hiện: 6%/cổ phiếu (01 cổ phiếu được nhận 600 đồng).
+ Chi trả cổ tức còn lại năm 2020: 3%/cổ phiếu (01 cổ phiếu được nhận 300 đồng)</t>
  </si>
  <si>
    <t>- Tỷ lệ thực hiện: 36,45%/cổ phiếu (01 cổ phiếu được nhận 3.645 đồng)</t>
  </si>
  <si>
    <t>- Tỷ lệ thực hiện:100:8 (người sở hữu 100 cổ phiếu được nhận 8 cổ phiếu mới)</t>
  </si>
  <si>
    <t>Tỷ lệ thực hiện: 100:25, tương đương 25% (người sở hữu 100 cổ phiếu nhận được 25 cổ phiếu mới)</t>
  </si>
  <si>
    <t>- Tỷ lệ thực hiện: 56,405920% (01 cổ phiếu được hưởng 01 quyền, 100 quyền được mua 56,405920 cổ phiếu mới)</t>
  </si>
  <si>
    <t>- Tỷ lệ thực hiện: 1,796%/cổ phần (10 cổ phần được nhận 1.796 đồng) (trong trường hợp số cổ tức phân chia bị lẻ thì được làm tròn số tiền cổ tức mỗi cổ đông được nhận đến hàng đồng)</t>
  </si>
  <si>
    <t>- Tỷ lệ thực hiện: 30,65%/cổ phiếu (01 cổ phiếu được nhận 3.065 đồng)</t>
  </si>
  <si>
    <t>- Tỷ lệ thực hiện :  10,2% (01 cổ phiếu được nhận 1.020 đồng)</t>
  </si>
  <si>
    <t>- Tỷ lệ thực hiện: 15%/cổ phiếu ( 01 cổ phiếu được nhận 1.500 đồng)</t>
  </si>
  <si>
    <t>- Tỷ lệ thực hiện: 25%/ cổ phiếu (01 cổ phiếu được nhận 2.500 đồng)</t>
  </si>
  <si>
    <t>- Tỷ lệ thực hiện: 14% (Tại ngày chốt danh sách cổ đông để thực hiện quyền, cổ đông sở hữu 100 cổ phiếu sẽ được nhận thêm 14 cổ phiếu phát hành thêm)</t>
  </si>
  <si>
    <t>Tỷ lệ thực hiện: 28%/cổ phiếu (01 cổ phiếu được nhận 2.800 đồng)</t>
  </si>
  <si>
    <t>a. Chi trả cổ tức đợt cuối năm 2020 bằng tiền và Tạm ứng cổ tức năm 2021 bằng tiền:
- Tỷ lệ thực hiện: 10%/cổ phiếu (01 cổ phiếu được nhận 1.000 đồng)
(Trong đó: Chi trả cổ tức đợt cuối năm 2020 bằng tiền là 5%/cổ phiếu và Tạm ứng cổ tức năm 2021 bằng tiền là 5%/cổ phiếu):
- Tỷ lệ thực hiện: 4:1 (Người sở hữu 04 cổ phiếu được nhận 01 cổ phiếu mới)</t>
  </si>
  <si>
    <t>- Tỷ lệ thực hiện: 1:1 (01 cổ phiếu được hưởng 01 quyền, 01 quyền được mua 01 cổ phiếu mới)</t>
  </si>
  <si>
    <t>- Tỷ lệ thực hiện: 15%/cổ phiếu (1 cổ phiếu được nhận 1.500 đồng)
- Tỷ lệ thực hiện: 15% (người sở hữu 10 cổ phiếu được nhận 1,5 cổ phiếu mới)</t>
  </si>
  <si>
    <t>- Tỷ lệ thực hiện: 11%/cổ phiếu (1 cổ phiếu được nhận 1.100 đồng).</t>
  </si>
  <si>
    <t>- Tỷ lệ thực hiện: 1:1</t>
  </si>
  <si>
    <t>a. Chi trả cổ tức đợt 2 năm 2020 bằng cổ phiếu:
- Tỷ lệ thực hiện: 100:20 (Người sở hữu 100 cổ phiếu được nhận 20 cổ phiếu mới)
- Tỷ lệ thực hiện: 100:50 (Người sở hữu 100 cổ phiếu được nhận 50 cổ phiếu mới)</t>
  </si>
  <si>
    <t>- Tỷ lệ thực hiện: 5% (cổ đông sở hữu 1 cổ phiếu sẽ được nhận 500 đồng).
- Tỷ lệ thực hiện: 5% (tại ngày chốt danh sách cổ đông để thực hiện quyền, cổ đông sở hữu 100 cổ phiếu sẽ được nhận thêm 5 cổ phiếu phát hành thêm).</t>
  </si>
  <si>
    <t>- Tỷ lệ thực hiện: 12%/cổ phiếu (01cổ phiếu được nhận 1.200 đồng)
- Tỷ lệ thực hiện: 2:1</t>
  </si>
  <si>
    <t>- Tỷ lệ thực hiện: 0,81%/cổ phiếu (01 cổ phiếu được nhận 81 đồng)</t>
  </si>
  <si>
    <t>- Tỷ lệ thực hiện: 15%/cổ phiếu (01 cổ phiếu được nhận 1.500 đồng)
- Tỷ lệ thực hiện: 1 cổ phiếu – 1 quyền biểu quyết</t>
  </si>
  <si>
    <t>- Tỷ lệ thực hiện: 16,5%/cổ phiếu (01 cổ phiếu được nhận 1.650 đồng)</t>
  </si>
  <si>
    <t>- Tỷ lệ thực hiện: 100:9,1206 (Người sở hữu 100 cổ phiếu được nhận 9,1206 cổ phiếu mới)</t>
  </si>
  <si>
    <t>- Tỷ lệ thực hiện: 12% (Cổ đông sở hữu 100 cổ phiếu được nhận 12 cổ phiếu mới)</t>
  </si>
  <si>
    <t>- Tỷ lệ thực hiện: 6%/cổ phiếu (01 cổ phiếu được nhận 600 đồng), trong đó:
+ Tỷ lệ thực hiện:   3%/cổ phiếu (01 cổ phiếu được nhận 300 đồng)
+ Tỷ lệ thực hiện:  3%/cổ phiếu (01 cổ phiếu được nhận 300 đồng)</t>
  </si>
  <si>
    <t>- Tỷ lệ thực hiện: 2:1 (01 cổ phiếu được hưởng 01 quyền, 02 quyền được mua 01 cổ phiếu mới)</t>
  </si>
  <si>
    <t>- Tỷ lệ thực hiện: 4,45 %/cổ phiếu (01 cổ phiếu được nhận 445 đồng)</t>
  </si>
  <si>
    <t>- Tỷ lệ thực hiện: 1: 0,25. Cổ đông sở hữu 100 cổ phiếu vào ngày chốt danh sách hưởng quyền sẽ được nhận thêm 25 cổ phiếu mới phát hành từ nguồn lợi nhuận sau thuế năm 2020.</t>
  </si>
  <si>
    <t>- Tỷ lệ thực hiện: 8,5%/cổ phiếu (1 cổ phiếu được nhận 850 đồng)</t>
  </si>
  <si>
    <t>- Tỷ lệ thực hiện: 5% (Người sở hữu 100 cổ phiếu được nhận 05 cổ phiếu mới)</t>
  </si>
  <si>
    <t>- Tỷ lệ thực hiện: 34%/cổ phiếu (01 cổ phiếu được nhận 3.400 đồng)</t>
  </si>
  <si>
    <t>-  Tỷ lệ thực hiện :  5% (01 cổ phiếu được nhận 500 đồng)
- Tỷ lệ thực hiện: 10% (Cổ đông sở hữu 10 cổ phiếu được nhận 01 cổ phiếu mới)</t>
  </si>
  <si>
    <t>- Tỷ lệ thực hiện: 17,13%/mệnh giá (01 cổ phiếu được nhận 1.713 đồng)</t>
  </si>
  <si>
    <t>- Tỷ lệ thực hiện: 12%/cổ phiếu (Cổ đông sở hữu 100 cổ phiếu sẽ được nhận 12 cổ phiếu mới)</t>
  </si>
  <si>
    <t>- Tỷ lệ thực hiện: 49,9%/cổ phiếu (01 cổ phiếu được nhận 4.990 đồng).</t>
  </si>
  <si>
    <t>- Tỷ lệ thực hiện: 50%/cổ phiếu (01 cổ phiếu được nhận 5.000 đồng).</t>
  </si>
  <si>
    <t>- Tỷ lệ thực hiện: 5%/cổ phiếu (1 cổ phiếu được nhận 500 đồng)
- Tỷ lệ thực hiện: 100:45 (Người sở hữu 100 cổ phiếu sẽ nhận được 45 cổ phiếu mới)</t>
  </si>
  <si>
    <t>- Tỷ lệ thực hiện: 2%/cổ phiếu ( 01 cổ phiếu được nhận 200 đồng)</t>
  </si>
  <si>
    <t>- Tỷ lệ thực hiện: 10:01 (Người sở hữu 10 cổ phiếu được nhận 01 cổ phiếu mới)</t>
  </si>
  <si>
    <t>- Tỷ lệ thực hiện: 100:15 (Người sở hữu 100 cổ phiếu được nhận 15 cổ phiếu mới)</t>
  </si>
  <si>
    <t>- Tỷ lệ thực hiện: 2%/ cổ phiếu (01 cổ phiếu được nhận 200 đồng)</t>
  </si>
  <si>
    <t>- Tỷ lệ thực hiện: 10%/cổ phiếu (01cổ phiếu được nhận 1.000 đồng)</t>
  </si>
  <si>
    <t>- Tỷ lệ thực hiện: 6% (01 cổ phiếu được nhận 600 đồng), trong đó:
+ Chi trả cổ tức bằng tiền mặt năm 2020: 3% (300 đồng/cổ phiếu)</t>
  </si>
  <si>
    <t>- Tỷ lệ thực hiện: 3,27%/cổ phiếu (01 cổ phiếu được nhận 327 đồng)</t>
  </si>
  <si>
    <t>- Tỷ lệ thực hiện: 16%/cổ phiếu (1 cổ phiếu được nhận 1.600 đồng)</t>
  </si>
  <si>
    <t>- Tỷ lệ thực hiện: 3%/cổ phiếu (1 cổ phiếu được nhận 300 đồng)</t>
  </si>
  <si>
    <t>- Tỷ lệ thực hiện: 100:20 (Người sở hữu 100 cổ phiếu được nhận 20 cổ phiếu mới).</t>
  </si>
  <si>
    <t>Tỷ lệ thực hiện: 20%/cổ phiếu (01 cổ phiếu được nhận 2.000 đồng)</t>
  </si>
  <si>
    <t>- Tỷ lệ thực hiện: 8,75%/cổ phiếu (01 cổ phiếu được nhận 875 đồng)</t>
  </si>
  <si>
    <t>Tỷ lệ thực hiện: 10% (01 cổ phiếu được nhận 1.000 đồng)</t>
  </si>
  <si>
    <t>- Tỷ lệ thực hiện: 10%/cổ phiếu ( 01cổ phiếu được nhận 1.000 đồng)</t>
  </si>
  <si>
    <t>- Tỷ lệ thực hiện: 10%/cổ phiếu (01 cổ phiếu được nhận 1.000 đồng)
- Tỷ lệ thực hiện trả cổ tức bằng cổ phiếu: 25%/cổ phiếu (tương đương 100:25). Cổ đông sở hữu 100 cổ phiếu tại thời điểm chốt danh sách sẽ được nhận thêm 25 cổ phiếu mới.</t>
  </si>
  <si>
    <t>- Tỷ lệ thực hiện: 20%/cổ phiếu ( 01 cổ phiếu được nhận 2.000 đồng)</t>
  </si>
  <si>
    <t>- Tỷ lệ thực hiện: 10%/cổ phiếu (1 cổ phiếu được nhận 1.000 đồng)
- Tỷ lệ thực hiện: 40% (người sở hữu 100 cổ phiếu được nhận thêm 40 cổ phiếu mới)</t>
  </si>
  <si>
    <t xml:space="preserve"> - Tỷ lệ thực hiện: 9,5% - Người sở hữu 1.000 cổ phiếu được nhận thêm 95 cổ phiếu mới (trong đó: trả cổ tức năm 2018 là 2,5%, trả cổ tức năm 2019 là 7%)</t>
  </si>
  <si>
    <t>- Tỷ lệ thực hiện: 82,96%/cổ phiếu (01 cổ phiếu được nhận 8.296 đồng)</t>
  </si>
  <si>
    <t>Tỷ lệ thực hiện: 4%/cổ phiếu (01 cổ phiếu được nhận 400 đồng)</t>
  </si>
  <si>
    <t>- Tỷ lệ thực hiện: 50%/cổ phiếu (01 cổ phiếu được nhận 5.000 đồng)</t>
  </si>
  <si>
    <t>- Tỷ lệ thực hiện: 1,5%/cổ phiếu (01 cổ phiếu được nhận 150 đồng)</t>
  </si>
  <si>
    <t>- Tỷ lệ thực hiện: 10% (Người sở hữu 10 cổ phiếu được nhận 01 cổ phiếu mới)</t>
  </si>
  <si>
    <t>- Tỷ lệ thực hiện: 35%/cổ phiếu (cổ đông sở hữu 100 cổ phiếu được nhận 35 cổ phiếu mới)</t>
  </si>
  <si>
    <t>- Tỷ lệ thực hiện: 5,5%/cổ phiếu (01 cổ phiếu được nhận 550 đồng)</t>
  </si>
  <si>
    <t>- Tỷ lệ thực hiện:</t>
  </si>
  <si>
    <t>Tỷ lệ thực hiện: 8%/cổ phiếu (01 cổ phiếu được nhận 800 đồng)</t>
  </si>
  <si>
    <t>Tỷ lệ thực hiện: 9%/cổ phiếu (01 cổ phiếu nhận được 900 đồng)</t>
  </si>
  <si>
    <t>- Tỷ lệ thực hiện:9,5%/cổ phiếu (01 cổ phiếu nhận được 950 đồng)</t>
  </si>
  <si>
    <t>- Tỷ lệ thực hiện: 10:1 (cổ đông sở hữu 10 cổ phiếu được nhận thêm 01 cổ phiếu mới)</t>
  </si>
  <si>
    <t>- Tỷ lệ thực hiện: 26%/cổ phiếu (01 cổ phiếu được nhận 2.600 đồng)</t>
  </si>
  <si>
    <t>- Tỷ lệ thực hiện: 4%/cổ phiếu (01 cổ phiếu được nhận 400 đồng)
- Tỷ lệ thực hiện: 1:1 (1 cổ phiếu – 1 quyền biểu quyết)</t>
  </si>
  <si>
    <t>- Tỷ lệ thực hiện: 10:1 (Người sở hữu 10 cổ phiếu sẽ nhận được 01 cổ phiếu mới)</t>
  </si>
  <si>
    <t xml:space="preserve">- Tỷ lệ thực hiện: 10%/cổ phiếu (01 cổ phiếu được nhận 1.000 đồng) trong đó: thanh toán cổ tức đợt cuối năm 2020 là 6% và tạm ứng cổ tức đợt 1 năm 2021 là 4%.      </t>
  </si>
  <si>
    <t>- Tỷ lệ thực hiện: 12,5%/cổ phiếu (01 cổ phiếu được nhận 1.250 đồng)</t>
  </si>
  <si>
    <t>- Tỷ lệ thực hiện: 23,77%/cổ phiếu (1 cổ phiếu được nhận 2.377 đồng)</t>
  </si>
  <si>
    <t>- Tỷ lệ thực hiện: 10% (01 cổ phiếu được nhận 1.000 đồng)</t>
  </si>
  <si>
    <t>- Tỷ lệ thực hiện:100:20 (Người sở hữu 100 cổ phiếu được nhận 20 cổ phiếu mới)</t>
  </si>
  <si>
    <t>- Tỷ lệ thực hiện: 20:1 (Người sở hữu 20 cổ phiếu được nhận 01 cổ phiếu mới).</t>
  </si>
  <si>
    <t>+ Tỷ lệ thực hiện: 100:15 (cổ đông sở hữu 01 cổ phiếu được nhận 01 quyền, 100 quyền được quyền nhận 15 cổ phiếu mới)</t>
  </si>
  <si>
    <t>- Tỷ lệ thực hiện: 100:29,0695 (cổ đông sở hữu 1.000.000 cổ phiếu được nhận 290.695 cổ phiếu mới)</t>
  </si>
  <si>
    <t>- Tỷ lệ thực hiện: 10:7 (01 cổ phiếu được hưởng 01 quyền, 10 quyền được mua 7 cổ phiếu mới)</t>
  </si>
  <si>
    <t>- Tỷ lệ thực hiện: 9%/cổ phiếu (Người sở hữu 100 cổ phiếu được nhận 9 cổ phiếu mới)</t>
  </si>
  <si>
    <t>- Tỷ lệ thực hiện: 12%/cổ phiếu (1 cổ phiếu được nhận 1.200 đồng)</t>
  </si>
  <si>
    <t>- Tỷ lệ thực hiện: 3,2%/mệnh giá (01 cổ phiếu được nhận 320 đồng)</t>
  </si>
  <si>
    <t>Tỷ lệ thực hiện :  20:1, tương đương 5% (người sở hữu 20 cổ phiếu nhận được 1 cổ phiếu mới)</t>
  </si>
  <si>
    <t>- Tỷ lệ thực hiện: 10%/cổ phiếu (01 cổ phiếu được nhận 1.000 đồng)
- Tỷ lệ thực hiện: 10% (Cổ đông hiện hữu sở hữu 10 cổ phiếu sẽ được nhận 01 cổ phiếu mới)</t>
  </si>
  <si>
    <t>- Tỷ lệ thực hiện: 10,73%/cổ phiếu (01 cổ phiếu được nhận 1.073 đồng)</t>
  </si>
  <si>
    <t>- Tỷ lệ thực hiện: 07%/cổ phiếu (01 cổ phiếu được nhận 700 đồng)</t>
  </si>
  <si>
    <t>- Tỷ lệ thực hiện: 18%/cổ phiếu (1 cổ phiếu được nhận 1.800 đồng)</t>
  </si>
  <si>
    <t>- Tỷ lệ thực hiện: 6%/cổ phiếu (01 cổ phiếu nhận được 600 đồng)</t>
  </si>
  <si>
    <t>- Tỷ lệ thực hiện: 9%/mệnh giá (01 cổ phiếu được nhận 900 đồng)</t>
  </si>
  <si>
    <t>- Tỷ lệ thực hiện :  10,5% (01 cổ phiếu được nhận 1.050 đồng)</t>
  </si>
  <si>
    <t>- Tỷ lệ thực hiện :  10,3% (01 cổ phiếu được nhận 1.030 đồng)</t>
  </si>
  <si>
    <t>- Tỷ lệ thực hiện:2,7%/cổ phiếu (01 cổ phiếu được nhận 270 đồng)</t>
  </si>
  <si>
    <t>Tỷ lệ thực hiện: 8%/cổ phiếu ( 01 cổ phiếu được nhận 800 đồng)</t>
  </si>
  <si>
    <t>-     Tỷ lệ thực hiện: 20:01 (Người sở hữu 20 cổ phiếu được nhận 01 cổ phiếu mới)</t>
  </si>
  <si>
    <t>- Tỷ lệ thực hiện: 15% (Người sở hữu 100 cổ phiếu được nhận 15 cổ phiếu mới)</t>
  </si>
  <si>
    <t>- Tỷ lệ thực hiện: 9,5%/cổ phiếu ( 01 cổ phiếu được nhận 950 đồng)</t>
  </si>
  <si>
    <t>- Tỷ lệ thực hiện: 10:1 (Người sở hữu 10 cổ phiếu được nhận 01 cổ phiếu mới)</t>
  </si>
  <si>
    <t>- Tỷ lệ thực hiện: 15,38897%/cổ phiếu (01 cổ phiếu được nhận 1.538,897 đồng. Tổng số tiền cổ tức mỗi cổ đông nhận được sẽ được làm tròn xuống hàng đơn vị đồng).</t>
  </si>
  <si>
    <t>Tỷ lệ thực hiện: 10%/cổ phiếu (01 cổ phiếu được nhận 1.000 đồng)</t>
  </si>
  <si>
    <t>- Tỷ lệ thực hiện: 8%/cổ phiếu ( 01 cổ phiếu được nhận 800 đồng)</t>
  </si>
  <si>
    <t>- Tỷ lệ thực hiện :  2,5% (01 cổ phiếu được nhận 250 đồng)</t>
  </si>
  <si>
    <t>- Tỷ lệ thực hiện: 30%/cổ phiếu (01 cổ phiếu được nhận 3.000 đồng)</t>
  </si>
  <si>
    <t>- Tỷ lệ thực hiện: 9%/cổ phiếu (01 cổ phiếu nhận được 900 đồng)</t>
  </si>
  <si>
    <t>- Tỷ lệ thực hiện: 10%/cổ phiếu (1.000đ/cp)</t>
  </si>
  <si>
    <t>- Tỷ lệ thực hiện:6,74%/cổ phiếu (01 cổ phiếu được nhận 674 đồng)</t>
  </si>
  <si>
    <t>- Tỷ lệ thực hiện: 10%/cổ phiếu (01 cổ phiếu được nhận 1.000 đồng)
- Tỷ lệ thực hiện: 29,458% (Người sở hữu 100.000 cổ phiếu được nhận 29.458 cổ phiếu mới)</t>
  </si>
  <si>
    <t>- Tỷ lệ thực hiện: 11 %/cổ phiếu (01 cổ phiếu được nhận 1.100 đồng)</t>
  </si>
  <si>
    <t>- Tỷ lệ thực hiện:  11%/cổ phiếu (01 cổ phiếu được nhận 1.100 đồng)</t>
  </si>
  <si>
    <t>- Tỷ lệ thực hiện:8%/cổ phiếu (01 cổ phiếu được nhận 800 đồng)</t>
  </si>
  <si>
    <t>- Tỷ lệ thực hiện: 25% (Người sở hữu 100 cổ phiếu được nhận 25 cổ phiếu mới).</t>
  </si>
  <si>
    <t>- Tỷ lệ thực hiện: 2,5%/ cổ phiếu (01 cổ phiếu được nhận 250 đồng)</t>
  </si>
  <si>
    <t>- Tỷ lệ thực hiện: 100:15 (người sở hữu 100 cổ phiếu được nhận 15 cổ phiếu mới)
- Tỷ lệ thực hiện: 1:1 (01 cổ phiếu được hưởng 01 quyền, 01 quyền được mua 01 cổ phiếu mới)</t>
  </si>
  <si>
    <t>- Tỷ lệ thực hiện: 3,5%/cổ phiếu (01 cổ phiếu được nhận 350 đồng)</t>
  </si>
  <si>
    <t>- Tỷ lệ thực hiện: 12,2%/cổ phiếu (01 cổ phiếu được nhận 1.220 đồng)</t>
  </si>
  <si>
    <t>1. Chi trả cổ tức năm 2020 bằng tiền:
- Tỷ lệ thực hiện:15%/cổ phiếu (01 cổ phiếu được nhận 1.500 đồng)
2. Chi trả cổ tức năm 2020 bằng cổ phiếu:
- Tỷ lệ thực hiện:1000:247 (Người sở hữu 1000 cổ phiếu được nhận 247 cổ phiếu mới)</t>
  </si>
  <si>
    <t>- Tỷ lệ thực hiện: 16%/cổ phiếu (01 cổ phiếu được nhận 1.600 đồng)</t>
  </si>
  <si>
    <t>- Tỷ lệ thực hiện: 2,58%/cổ phiếu (01 cổ phiếu được nhận 258 đồng)</t>
  </si>
  <si>
    <t>- Tỷ lệ thực hiện: 15%/cổ phiếu ( 01cổ phiếu được nhận 1.500 đồng)</t>
  </si>
  <si>
    <t>- Tỷ lệ thực hiện: 1:1 (Người sở hữu 1 cổ phiếu được nhận 1 cổ phiếu mới).</t>
  </si>
  <si>
    <t>- Tỷ lệ thực hiện: 6%/ cổ phiếu (01 cổ phiếu được nhận 600 đồng)</t>
  </si>
  <si>
    <t>- Tỷ lệ thực hiện:20% (Cổ đông sở hữu 05 cổ phiếu cũ được nhận thêm 01 cổ phiếu mới)</t>
  </si>
  <si>
    <t>- Tỷ lệ thực hiện: 6,7%/cổ phiếu (01 cổ phiếu được nhận 670 đồng)</t>
  </si>
  <si>
    <t>-  Tỷ lệ thực hiện: 7,5%/cổ phiếu (01 cổ phiếu được nhận 750 đồng)</t>
  </si>
  <si>
    <t>- Tỷ lệ thực hiện: 10:1 (người sở hữu 10 cổ phiếu được nhận 01 cổ phiếu mới)</t>
  </si>
  <si>
    <t>Tỷ lệ thực hiện: 100:10 (Người sở hữu 100 cổ phiếu được nhận 10 cổ phiếu mới).</t>
  </si>
  <si>
    <t>Tỷ lệ thực hiện: 5%/cổ phiếu (01 cổ phiếu được nhận 500 đồng)</t>
  </si>
  <si>
    <t>- Tỷ lệ thực hiện: 10%/cổ phiếu ( 01 cổ phiếu được nhận 1.000 đồng)</t>
  </si>
  <si>
    <t>-  Tỷ lệ thực hiện: 3%/cổ phiếu (1 cổ phiếu được nhận 300 đồng)</t>
  </si>
  <si>
    <t>- Tỷ lệ thực hiện: 9,6%/cổ phiếu (1 cổ phiếu được nhận 960 đồng)</t>
  </si>
  <si>
    <t>- Tỷ lệ thực hiện: 6,5%/cổ phiếu (1 cổ phiếu được nhận 650 đồng)</t>
  </si>
  <si>
    <t>- Tỷ lệ thực hiện: 10%/ cổ phiếu (01 cổ phiếu được nhận 1.000 đồng)</t>
  </si>
  <si>
    <t>Tỷ lệ thực hiện: 13%/cổ phiếu (01 cổ phiếu được nhận 1.300 đồng)</t>
  </si>
  <si>
    <t>- Tỷ lệ thực hiện: 14%/cổ phiếu (1.400đ/cp)</t>
  </si>
  <si>
    <t>- Tỷ lệ thực hiện: 17%/cổ phiếu (01 cổ phiếu được nhận 1.700 đồng)</t>
  </si>
  <si>
    <t>- Tỷ lệ thực hiện: 10%/cổ phiếu (01 cổ phiếu được nhận 1.000 đồng)
- Tỷ lệ thực hiện: 10% /cổ phần (cổ đông sở hữu 10 cổ phiếu vào ngày chốt danh sách hưởng quyền sẽ được nhận 1 cổ phiếu mới)</t>
  </si>
  <si>
    <t>- Tỷ lệ thực hiện:1,17%/cổ phần (10 cổ phần được nhận 1.170 đồng) (trong trường hợp số cổ tức phân chia bị lẻ thì được làm tròn số tiền cổ tức mỗi cổ đông được nhận đến hàng đồng)</t>
  </si>
  <si>
    <t>- Tỷ lệ thực hiện: 40%/cổ phiếu (01 cổ phiếu được nhận 0,4 cổ phiếu thưởng)</t>
  </si>
  <si>
    <t>- Tỷ lệ thực hiện: 5%/cổ phiếu (01 cổ phiếu nhận được 500 đồng)</t>
  </si>
  <si>
    <t xml:space="preserve">- Tỷ lệ thực hiện: 10%/cổ phiếu (cổ đông sở hữu 10 cổ phiếu sẽ được nhận thêm 01 cổ phiếu mới) </t>
  </si>
  <si>
    <t>- Tỷ lệ thực hiện: 100:10 (Người sở hữu 100 cổ phiếu được nhận 10 cổ phiếu mới).</t>
  </si>
  <si>
    <t>- Tỷ lệ thực hiện: 8%/cổ phiếu (1 cổ phiếu được nhận 800 đồng).</t>
  </si>
  <si>
    <t>- Tỷ lệ thực hiện:20:13 (Người sở hữu 20 cổ phiếu được nhận 13 cổ phiếu mới)</t>
  </si>
  <si>
    <t>- Tỷ lệ thực hiện: 100:14 (Người sở hữu 100 cổ phiếu sẽ được nhận 14 cổ phiếu mới).</t>
  </si>
  <si>
    <t>- Tỷ lệ thực hiện: 13%/cổ phiếu (01 cổ phiếu được nhận 1.300 đồng)</t>
  </si>
  <si>
    <t>- Tỷ lệ thực hiện: Đối với cổ phiếu phổ thông: 25% (Người sở hữu 100 cổ phiếu được nhận 25 cổ phiếu mới).</t>
  </si>
  <si>
    <t>- Tỷ lệ thực hiện: 10%/cổ phiếu ( 01cổ phiếu được nhận 1.000 đồng)
- Tỷ lệ thực hiện: 2:1 (Người sở hữu 02 cổ phiếu được nhận 01 cổ phiếu mới)</t>
  </si>
  <si>
    <t>- Tỷ lệ thực hiện: 10% trên mệnh giá cổ phần, tương đương tỷ lệ phát hành 10:1 (người sở hữu 10 cổ phiếu sẽ được nhận 1 cổ phiếu mới)</t>
  </si>
  <si>
    <t>Tỷ lệ thực hiện: 7.5%/cổ phiếu (01 cổ phiếu được nhận 750 đồng)</t>
  </si>
  <si>
    <t>- Tỷ lệ thực hiện: 18%/cổ phiếu (01 cổ phiếu được nhận 1.800 đồng)</t>
  </si>
  <si>
    <t>- Tỷ lệ thực hiện: 5,3%/cổ phiếu (01 cổ phiếu được nhận 530 đồng)</t>
  </si>
  <si>
    <t>- Tỷ lệ thực hiện: 2%/cổ phiếu (1 cổ phiếu được nhận 200 đồng)</t>
  </si>
  <si>
    <t>- Tỷ lệ thực hiện: 20%/cổ phiếu (01 cổ phiếu được nhận 2.000 đồng)
- Tỷ lệ thực hiện: đối với cổ phiếu phổ thông tỷ lệ thực hiện là: 5,51%. (Người sở hữu 100 cổ phiếu được nhận 5,51 cổ phiếu mới).</t>
  </si>
  <si>
    <t>- Tỷ lệ thực hiện: 5%/cổ phiếu (500đ/cp)</t>
  </si>
  <si>
    <t>- Tỷ lệ thực hiện:11,79%/cổ phiếu (01 cổ phiếu nhận được 1.179 đồng), trong đó:</t>
  </si>
  <si>
    <t>- Tỷ lệ thực hiện: 2,5%/cổ phiếu (01 cổ phiếu được nhận 250 đồng)</t>
  </si>
  <si>
    <t>- Tỷ lệ thực hiện: 555:198 (Người sở hữu 555 cổ phiếu được nhận 198 cổ phiếu mới)</t>
  </si>
  <si>
    <t>- Tỷ lệ thực hiện: 8%/cổ phiếu (1 cổ phiếu được nhận 800 đồng)
- Tỷ lệ thực hiện: 100:18 (người sở hữu 100 cổ phiếu được nhận 18 cổ phiếu mới)</t>
  </si>
  <si>
    <t>- Tỷ lệ thực hiện: 45%/cổ phiếu (01cổ phiếu được nhận 4.500 đồng)</t>
  </si>
  <si>
    <t>-     Tỷ lệ thực hiện: 10:6 (cổ đông sở hữu 01 cổ phiếu sẽ có 01 quyền, 10 quyền được mua 06 cổ phiếu phát hành thêm)</t>
  </si>
  <si>
    <t>- Tỷ lệ thực hiện: 12%/cổ phiếu ( 01cổ phiếu được nhận 1.200 đồng)</t>
  </si>
  <si>
    <t>Tỷ lệ thực hiện: 15%/mệnh giá (01 cổ phiếu được nhận 1.500 đồng)</t>
  </si>
  <si>
    <t>Tỷ lệ thực hiện: 15%/cổ phiếu (01 cổ phiếu được nhận 1.500 đồng).</t>
  </si>
  <si>
    <t>- Tỷ lệ thực hiện: 17,5%/cổ phiếu (người sở hữu 01 cổ phiếu được nhận 1.750 đồng)</t>
  </si>
  <si>
    <t>- Tỷ lệ thực hiện :  17% (người sở hữu 100 cổ phiếu nhận được 17 cổ phiếu mới)</t>
  </si>
  <si>
    <t>- Tỷ lệ thực hiện: 8%/cổ phiếu (01 cổ phiếu nhận được 800 đồng)</t>
  </si>
  <si>
    <t>- Tỷ lệ thực hiện: 10%/cổ phiếu (Người sở hữu 100 cổ phiếu được nhận 10 cổ phiếu mới)</t>
  </si>
  <si>
    <t>- Tỷ lệ thực hiện: 08%/cổ phiếu (01cổ phiếu được nhận 800 đồng)</t>
  </si>
  <si>
    <t>- Tỷ lệ thực hiện: 17%/cổ phiếu (1.700đ/cp)</t>
  </si>
  <si>
    <t>- Tỷ lệ thực hiện: 40%/ cổ phiếu (01 cổ phiếu được nhận 4.000 đồng)</t>
  </si>
  <si>
    <t>- Tỷ lệ thực hiện: 01:05 (01 cổ phiếu được hưởng 01 quyền, 01 quyền được mua 05 cổ phiếu mới).</t>
  </si>
  <si>
    <t>- Tỷ lệ thực hiện: 45%/cổ phiếu ( 01cổ phiếu được nhận 4.500 đồng)</t>
  </si>
  <si>
    <t>- Tỷ lệ thực hiện: 11%/cổ phiếu (1.100đ/cp)</t>
  </si>
  <si>
    <t>- Tỷ lệ thực hiện: 100:20 (Cổ đông sở hữu 100 cổ phần sẽ được nhận 20 cổ phần phát hành thêm)</t>
  </si>
  <si>
    <t>- Tỷ lệ thực hiện: 05%/cổ phiếu (01 cổ phiếu được nhận 500 đồng)
- Tỷ lệ thực hiện: 10% (người sở  hữu 100 cổ phiếu được nhận thêm 10 cổ phiếu mới)</t>
  </si>
  <si>
    <t>- Tỷ lệ thực hiện: 23%/cổ phiếu (01 cổ phiếu được nhận 2.300 đồng)</t>
  </si>
  <si>
    <t>- Tỷ lệ thực hiện: 17,2%/cổ phiếu (01 cổ phiếu được nhận 1.720 đồng)</t>
  </si>
  <si>
    <t>- Tỷ lệ thực hiện: 10%/cổ phiếu (1 cổ phiếu được nhận 1.000 đồng).</t>
  </si>
  <si>
    <t>1. Chi trả cổ tức đợt 2 năm 2020 bằng tiền:
- Tỷ lệ thực hiện: 10%/cổ phiếu (01 cổ phiếu được nhận 1.000 đồng)
- Tỷ lệ thực hiện: 10%/cổ phiếu (Cổ đông sở hữu 100 cổ phiếu sẽ được nhận thêm 10 cổ phiếu)</t>
  </si>
  <si>
    <t>- Tỷ lệ thực hiện: 35%/cổ phiếu (người sở hữu 01 cổ phiếu được nhận 3.500 đồng)</t>
  </si>
  <si>
    <t>- Tỷ lệ thực hiện: 11,99%/ cổ phiếu (01 cổ phiếu được nhận 1.199 đồng)</t>
  </si>
  <si>
    <t>- Tỷ lệ thực hiện: 10%/mệnh giá (01 cổ phiếu được nhận 1.000 đồng)
- Tỷ lệ thực hiện: 15% (20:03) (cổ đông sở  hữu 20 cổ phiếu được nhận thêm 03 cổ phiếu mới)</t>
  </si>
  <si>
    <t>- Tỷ lệ thực hiện: 5%/cổ phiếu (01 cổ phiếu được nhận 500 đồng)
- Tỷ lệ thực hiện: 35% (người sở hữu 20 cổ phiếu được nhận 7 cổ phiếu mới)</t>
  </si>
  <si>
    <t>Tỷ lệ thực hiện: 16%/cổ phiếu (01 cổ phiếu được nhận 1.600 đồng)</t>
  </si>
  <si>
    <t>- Tỷ lệ thực hiện: 7,25%/cổ phiếu (01 cổ phiếu được nhận 725 đồng)</t>
  </si>
  <si>
    <t>- Tỷ lệ thực hiện: 5,6%/cổ phiếu (01 cổ phiếu được nhận 560 đồng)</t>
  </si>
  <si>
    <t>Căn cứ công văn số 31/2021/CV-AMV ngày 18/05/2021 về việc điều chỉnh ngày thanh toán cổ tức bằng tiền của CTCP Sản xuất Kinh doanh Dược và Trang thiết bị Y tế Việt Mỹ. Trung tâm Lưu ký chứng khoán Việt Nam – Chi nhánh tại Tp.Hồ Chí Minh thông báo điều chỉnh ngày thanh toán tiền cổ tức do “Chi trả cổ tức năm 2019 bằng tiền” tại thông báo số 1717/TB-CNVSD ngày 28/12/2020 của Trung tâm Lưu ký chứng khoán Việt Nam - Chi nhánh tại TP. Hồ Chí Minh như sau:</t>
  </si>
  <si>
    <t>- Tỷ lệ thực hiện:  1:1  (1 cổ phiếu – 1 quyền biểu quyết)
- Tỷ lệ thực hiện: 7% (700đ/cổ phiếu)</t>
  </si>
  <si>
    <t>- Tỷ lệ thực hiện: 40%/cổ phiếu (01 cổ phiếu được nhận 4.000 đồng)</t>
  </si>
  <si>
    <t>- Tỷ lệ thực hiện:5,5%/cổ phiếu (01 cổ phiếu được nhận 550 đồng)</t>
  </si>
  <si>
    <t>- Tỷ lệ thực hiện: 5%/cổ phiếu (500đ/cổ phiếu)</t>
  </si>
  <si>
    <t>- Tỷ lệ thực hiện: 05%/cổ phiếu (01 cổ phiếu được nhận 500 đồng)</t>
  </si>
  <si>
    <t>- Tỷ lệ thực hiện:5,88%/cổ phiếu (01 cổ phiếu được nhận 588 đồng)</t>
  </si>
  <si>
    <t>- Tỷ lệ thực hiện :  5,5% (01 cổ phiếu được nhận 550 đồng)</t>
  </si>
  <si>
    <t>- Tỷ lệ thực hiện: 10:3 (Người sở hữu 10 cổ phiếu được nhận 03 cổ phiếu mới).</t>
  </si>
  <si>
    <t>- Tỷ lệ thực hiện: 23%/ cổ phiếu (01 cổ phiếu được nhận 2.300 đồng)</t>
  </si>
  <si>
    <t>- Tỷ lệ thực hiện: 18%/cổ phiếu (01 cổ phiếu được nhận 1.800 đồng)
     - Tỷ lệ thực hiện: 10:15,64 (01 cổ phiếu được hưởng 01 quyền, 1.000 quyền được mua 1.564 cổ phiếu mới)</t>
  </si>
  <si>
    <t>- Tỷ lệ thực hiện:11%/cổ phiếu (01 cổ phiếu được nhận 1.100 đồng)</t>
  </si>
  <si>
    <t>- Tỷ lệ thực hiện: 4,25%/cổ phiếu (01 cổ phiếu được nhận 425 đồng)</t>
  </si>
  <si>
    <t>- Tỷ lệ thực hiện: 8,89%/cổ phiếu (01 cổ phiếu được nhận 889 đồng)</t>
  </si>
  <si>
    <t>- Tỷ lệ thực hiện: 30%/ cổ phiếu (01 cổ phiếu được nhận 3.000 đồng)</t>
  </si>
  <si>
    <t>- Tỷ lệ thực hiện :  9,49% (01 cổ phiếu được nhận 949 đồng)</t>
  </si>
  <si>
    <t>- Tỷ lệ thực hiện: 15%/cổ phiếu (01 cổ phiếu nhận được 1.500 đồng)</t>
  </si>
  <si>
    <t>- Tỷ lệ thực hiện: 12,55%/cổ phiếu (01 cổ phiếu được nhận 1.255 đồng)</t>
  </si>
  <si>
    <t>- Tỷ lệ thực hiện:15% (Người sở hữu 100 cổ phiếu được nhận 15 cổ phiếu mới)</t>
  </si>
  <si>
    <t>- Tỷ lệ thực hiện: 23%/cổ phiếu (01 cổ phiếu nhận được 2.300 đồng)</t>
  </si>
  <si>
    <t>- Tỷ lệ thực hiện: 5,38% (người sở hữu 100 cổ phiếu được nhận 5,38 cổ phiếu mới)</t>
  </si>
  <si>
    <t>- Tỷ lệ thực hiện: 14%/01 chứng chỉ quỹ (01 chứng chỉ quỹ  được nhận 1.400 đồng)</t>
  </si>
  <si>
    <t>- Tỷ lệ thực hiện: 1:1 (01 cổ phiếu - 01 quyền biểu quyết)
- Tỷ lệ thực hiện: 12%/cổ phiếu (01 cổ phiếu được nhận 1.200 đồng)</t>
  </si>
  <si>
    <t>- Tỷ lệ thực hiện: 23,81%/cổ phiếu (01 cổ phiếu được nhận 2.381 đồng)</t>
  </si>
  <si>
    <t>- Tỷ lệ thực hiện: 2,16%/cổ phiếu (1 cổ phiếu được nhận 216 đồng).</t>
  </si>
  <si>
    <t>Tỷ lệ thực hiện: 6,88 %/Cổ phiếu (01 cổ phiếu được nhận 688 đồng)</t>
  </si>
  <si>
    <t>Tỷ lệ thực hiện: 40% (01 cổ phiếu được nhận 4.000 đồng)</t>
  </si>
  <si>
    <t>- Tỷ lệ thực hiện: 13,5%/cổ phiếu (người sở hữu 01 cổ phiếu được nhận 1.350 đồng)</t>
  </si>
  <si>
    <t>- Tỷ lệ thực hiện: 8,3%/cổ phiếu ( 01cổ phiếu được nhận 830 đồng)</t>
  </si>
  <si>
    <t>a.     Chi trả cổ tức bằng tiền năm 2020:
- Tỷ lệ thực hiện: 5%/cổ phiếu (500đ/cổ phiếu)
- Tỷ lệ thực hiện: 10% /mệnh giá ( Người sở hữu 100 cổ phiếu được nhận 10 cổ phiếu mới).</t>
  </si>
  <si>
    <t>- Tỷ lệ thực hiện: 10%/cổ phiếu (01 cổ phiếu được nhận 1.000 đồng)
- Tỷ lệ thực hiện: 1:1 (01 cổ phiếu – 01 quyền biểu quyết)</t>
  </si>
  <si>
    <t>- Tỷ lệ thực hiện: 16,4%/cổ phiếu (01 cổ phiếu được nhận 1.640 đồng)</t>
  </si>
  <si>
    <t>- Tỷ lệ thực hiện:                    5%/cổ phiếu (01 cổ phiếu được nhận 500 đồng)</t>
  </si>
  <si>
    <t>Căn cứ công văn số 360/TB-VP.HĐQT ngày 06/05/2021 về việc điều chỉnh ngày thanh toán cổ tức bằng tiền của Công ty cổ phần Cấp nước Chợ Lớn. Trung tâm Lưu ký chứng khoán Việt Nam – Chi nhánh tại Tp.Hồ Chí Minh thông báo điều chỉnh ngày thanh toán tiền cổ tức do “Chi trả cổ tức năm 2020 bằng tiền” tại thông báo số 757/TB – CNVSD ngày 05/05/2021 của Trung tâm Lưu ký chứng khoán Việt Nam - Chi nhánh TP. Hồ Chí Minh như sau:</t>
  </si>
  <si>
    <t>- Tỷ lệ thực hiện: 1 cổ phiếu – 1 quyền biểu quyết.
- Tỷ lệ thực hiện: 7%/mệnh giá (01 cổ phiếu được nhận 700 đồng)</t>
  </si>
  <si>
    <t>-     Tỷ lệ thực hiện: 8,32%/cổ phiếu (01 cổ phiếu nhận được 832 đồng)</t>
  </si>
  <si>
    <t>- Tỷ lệ thực hiện:14%/cổ phiếu (01 cổ phiếu được nhận 1.400 đồng)</t>
  </si>
  <si>
    <t>-     Tỷ lệ thực hiện: 35%/cổ phiếu (01 cổ phiếu nhận được 3.500 đồng)</t>
  </si>
  <si>
    <t>- Tỷ lệ thực hiện:                   1:1 (01 cổ phiếu – 01 quyền biểu quyết
- Tỷ lệ thực hiện:                    6%/cổ phiếu (01 cổ phiếu được nhận 600 đồng)</t>
  </si>
  <si>
    <t>- Tỷ lệ thực hiện:4%/cổ phiếu (01 cổ phiếu được nhận 400 đồng)</t>
  </si>
  <si>
    <t>- Tỷ lệ thực hiện: 15% (Người sở hữu 100 cổ phiếu được nhận 15 cổ phiếu mới).</t>
  </si>
  <si>
    <t>- Tỷ lệ thực hiện: 2,01%/cổ phiếu (01 cổ phiếu được nhận 201 đồng)</t>
  </si>
  <si>
    <t>- Tỷ lệ thực hiện: 1:1 (01 cổ phiếu - 01 quyền biểu quyết)
b) Chi trả cổ tức đợt 1 năm 2019 bằng tiền:
- Tỷ lệ thực hiện: 2,6%/cổ phiếu (01 cổ phiếu được nhận 260 đồng)</t>
  </si>
  <si>
    <t>a)     Chi trả cổ tức năm 2020 bằng tiền:
- Tỷ lệ thực hiện: 7%/cổ phiếu (01 cổ phiếu được nhận 700 đồng)
- Tỷ lệ thực hiện: 1:1 (01 cổ phiếu - 01 quyền biểu quyết)</t>
  </si>
  <si>
    <t>Tỷ lệ thực hiện: 4,38%/cổ phiếu (01 cổ phiếu nhận 438 đồng)</t>
  </si>
  <si>
    <t>- Tỷ lệ thực hiện: 20:3 (người sở hữu 20 cổ phiếu được nhận 03 cổ phiếu mới)
-     Tỷ lệ thực hiện: 7:3 (01 cổ phiếu được hưởng 01 quyền, 07 quyền được mua 03 cổ phiếu mới)</t>
  </si>
  <si>
    <t>- Tỷ lệ thực hiện: 60,95%/cổ phiếu (01 cổ phiếu được nhận 6.095 đồng)</t>
  </si>
  <si>
    <t>- Tỷ lệ thực hiện: 15%/cổ phiếu (01 cổ phiếu được nhận 1.500 đồng), trong đó:
- Chi trả cổ tức đợt 3 năm 2020 bằng tiền: 7%/cổ phiếu (01 cổ phiếu được nhận 700 đồng)</t>
  </si>
  <si>
    <t xml:space="preserve">   Tỷ lệ thực hiện: 12%/cổ phiếu (01 cổ phiếu được nhận 1.200 đồng)</t>
  </si>
  <si>
    <t>- Tỷ lệ thực hiện: 20%/cổ phiếu (01 cổ phiếu nhận được 2.000 đồng)</t>
  </si>
  <si>
    <t>- Tỷ lệ thực hiện: 12,85%/cổ phiếu (01 cổ phiếu được nhận 1,285 đồng)</t>
  </si>
  <si>
    <t>- Tỷ lệ thực hiện: 14,8%/ cổ phiếu (01 cổ phiếu được nhận 1.480 đồng)</t>
  </si>
  <si>
    <t>- Tỷ lệ thực hiện: 5%/ cổ phiếu (01 cổ phiếu được nhận 500 đồng)</t>
  </si>
  <si>
    <t>- Tỷ lệ thực hiện: 25%/cổ phiếu (2.500đ/cổ phiếu)</t>
  </si>
  <si>
    <t>- Tỷ lệ thực hiện:0,6144%/cổ phiếu (1 cổ phiếu được nhận 61,44 đồng).</t>
  </si>
  <si>
    <t>- Tỷ lệ thực hiện:16,10% (1 cổ phiếu được nhận 1.610 đồng)</t>
  </si>
  <si>
    <t>- Tỷ lệ thực hiện :  14,01% (01 cổ phiếu được nhận 1.401 đồng)</t>
  </si>
  <si>
    <t>- Tỷ lệ thực hiện: 4,24%/cổ phiếu (01 cổ phiếu nhận được 424 đồng)</t>
  </si>
  <si>
    <t>- Tỷ lệ thực hiện: 18,94%/cổ phiếu (01 cổ phiếu được nhận 1.894 đồng)</t>
  </si>
  <si>
    <t>- Tỷ lệ thực hiện: 4%/cổ phiếu (01 cổ phiếu nhận được 400 đồng)</t>
  </si>
  <si>
    <t>- Tỷ lệ thực hiện: 6,5%/cổ phiếu (01 cổ phiếu được nhận 650 đồng)</t>
  </si>
  <si>
    <t>- Tỷ lệ thực hiện: 12,5%/cổ phiếu (1.250đ/cổ phiếu)</t>
  </si>
  <si>
    <t>- Tỷ lệ thực hiện: 20%/cổ phiếu (01cổ phiếu được nhận 2.000 đồng)</t>
  </si>
  <si>
    <t>- Tỷ lệ thực hiện:15%/cổ phiếu (1 cổ phiếu được nhận 1.500 đồng)</t>
  </si>
  <si>
    <t>- Tỷ lệ thực hiện: 20%/01 chứng chỉ quỹ (01 chứng chỉ quỹ được nhận 2.000 đồng)</t>
  </si>
  <si>
    <t>- Tỷ lệ thực hiện:8%/cổ phiếu (01 cổ phiếu nhận được 800 đồng)</t>
  </si>
  <si>
    <t>- Tỷ lệ thực hiện: 35%/cổ phiếu (01 cổ phiếu được nhận 3.500 đồng)</t>
  </si>
  <si>
    <t>- Tỷ lệ thực hiện:22%/cổ phiếu (01 cổ phiếu được nhận 2.200 đồng)</t>
  </si>
  <si>
    <t>Tỷ lệ thực hiện: 14%/cổ phiếu (01 cổ phiếu được nhận 1.400 đồng)</t>
  </si>
  <si>
    <t>- Tỷ lệ thực hiện :  20,75% (cổ đông sở hữu 10.000 cổ phiếu sẽ được nhận 2.075 cổ phiếu mới)</t>
  </si>
  <si>
    <t>- Tỷ lệ thực hiện :  20% (01 cổ phiếu được nhận 2.000 đồng)</t>
  </si>
  <si>
    <t>- Tỷ lệ thực hiện:6,5%/cổ phiếu (01 cổ phiếu được nhận 650 đồng)</t>
  </si>
  <si>
    <t>-     Tỷ lệ thực hiện: 13%/cổ phiếu (01 cổ phiếu được nhận 1.300 đồng)</t>
  </si>
  <si>
    <t>- Tỷ lệ thực hiện: 3,81%/cổ phiếu (01 cổ phiếu được nhận 381 đồng)</t>
  </si>
  <si>
    <t>- Tỷ lệ thực hiện: 29,588%/cổ phiếu (1 cổ phiếu được nhận 2.958,8 đồng).</t>
  </si>
  <si>
    <t>- Tỷ lệ thực hiện: 22,28%/cổ phiếu (tương ứng 1 cổ phần được nhận 2.228 đồng) (trong trường hợp cổ tức phân chia bị lẻ thì được làm tròn số tiền cổ tức mỗi cổ đông được nhận đến hàng đồng)</t>
  </si>
  <si>
    <t>- Tỷ lệ thực hiện: 7%/cổ phiếu ( 01 cổ phiếu được nhận 700 đồng)</t>
  </si>
  <si>
    <t>- Tỷ lệ thực hiện:1:1 (1 cổ phiếu – 1 quyền biểu quyết)
- Tỷ lệ thực hiện: 1%/cổ phiếu (01 cổ phiếu được nhận 100 đồng)</t>
  </si>
  <si>
    <t>- Tỷ lệ thực hiện: 20:3 (Người sở hữu 20 cổ phiếu được nhận 03 cổ phiếu mới)</t>
  </si>
  <si>
    <t>- Tỷ lệ thực hiện: 12% (01 cổ phiếu được nhận 1.200 đồng)</t>
  </si>
  <si>
    <t>- Tỷ lệ thực hiện: 15%/ cổ phiếu (01 cố phiếu được nhận 1.500 đồng)</t>
  </si>
  <si>
    <t>- Tỷ lệ thực hiện: 14,09%/cổ phiếu (01 cổ phiếu được nhận 1.409 đồng)</t>
  </si>
  <si>
    <t xml:space="preserve">Tỷ lệ thực hiện: 20%/cổ phiếu (01 cổ phiếu được nhận 2.000 đồng) </t>
  </si>
  <si>
    <t>- Tỷ lệ thực hiện: 100:10 (người sở hữu 100 cổ phiếu sẽ được nhận 10 cổ phiếu mới)</t>
  </si>
  <si>
    <t>- Tỷ lệ thực hiện:   10%/cổ phiếu (01 cổ phiếu được nhận 1.000 đồng)</t>
  </si>
  <si>
    <t>- Tỷ lệ thực hiện:8% (01 cổ phiếu được nhận 800 đồng)</t>
  </si>
  <si>
    <t>+ Tỷ lệ thực hiện: 13,34%/cổ phiếu (01 cổ phiếu được nhận 1.334 đồng)</t>
  </si>
  <si>
    <t>- Tỷ lệ thực hiện: 5,2%/cổ phiếu (1 cổ phiếu được nhận 520 đồng)</t>
  </si>
  <si>
    <t>- Tỷ lệ thực hiện: 5%/cổ phiếu (01 cổ phiếu được nhận 500 đồng)
- Tỷ lệ thực hiện: 01 cổ phần – 01 quyền biểu quyết</t>
  </si>
  <si>
    <t>- Tỷ lệ thực hiện: 32% (Người sở hữu 100 cổ phiếu được nhận thêm 32 cổ phiếu mới)</t>
  </si>
  <si>
    <t>- Tỷ lệ thực hiện: 1,72%/cổ phiếu (01 cổ phiếu nhận được 172 đồng)</t>
  </si>
  <si>
    <t>- Tỷ lệ thực hiện: 1:1 (1 cổ phiếu – 1 quyền biểu quyết)
- Tỷ lệ thực hiện: 6%/cổ phiếu (01 cổ phiếu được nhận 600 đồng)</t>
  </si>
  <si>
    <t>- Tỷ lệ thực hiện: 5%/cổ phiếu (1 cổ phiếu được nhận 500 đồng).</t>
  </si>
  <si>
    <t>Tỷ lệ thực hiện: 70%/cổ phiếu (01 cổ phiếu được nhận 7.000 đồng)</t>
  </si>
  <si>
    <t>Tỷ lệ thực hiện: 9%/cổ phiếu (01 cổ phiếu được nhận 900 đồng)</t>
  </si>
  <si>
    <t>- Tỷ lệ thực hiện :  11,7% (cổ đông sở hữu 1.000 cổ phiếu sẽ được nhận 117 cổ phiếu mới)</t>
  </si>
  <si>
    <t>Tỷ lệ thực hiện: 1,986% (01 cổ phiếu nhận được 1,986 đồng, số tiền thực nhận sẽ được làm tròn đến hàng đơn vị).</t>
  </si>
  <si>
    <t>- Tỷ lệ thực hiện: 20% (01 cổ phiếu được nhận 2.000 đồng)</t>
  </si>
  <si>
    <t>- Tỷ lệ thực hiện:1 cổ phiếu – 1 quyền biểu quyết
- Tỷ lệ thực hiện: 5%/cổ phiếu (01 cổ phiếu được nhận 500 đồng)</t>
  </si>
  <si>
    <t>- Tỷ lệ thực hiện: 01 cổ phiếu – 01 quyền biểu quyết
- Tỷ lệ thực hiện: 13%/cổ phiếu (01 cổ phiếu được nhận 1.300 đồng)</t>
  </si>
  <si>
    <t>- Tỷ lệ thực hiện: 18%/cổ phiếu (1.800đ/cổ phiếu)</t>
  </si>
  <si>
    <t>- Tỷ lệ thực hiện: 1:1 (01 cổ phiếu - 01 quyền biểu quyết)
- Tỷ lệ thực hiện: 8% (800đ/cổ phiếu)</t>
  </si>
  <si>
    <t>- Tỷ lệ thực hiện:1 cổ phiếu – 1 quyền biểu quyết
- Tỷ lệ thực hiện: 2%/cổ phiếu (01 cổ phiếu được nhận 200 đồng)</t>
  </si>
  <si>
    <t>- Tỷ lệ thực hiện: 7,5%/cổ phiếu (01 cổ phiếu được nhận 750 đồng), trong đó:</t>
  </si>
  <si>
    <t>- Tỷ lệ thực hiện: 5,5%/trái phiếu  (01 trái phiếu được nhận 55.000 đồng)</t>
  </si>
  <si>
    <t>- Tỷ lệ thực hiện: 14%/cổ phiếu (01 cổ phiếu được nhận 1.400 đồng)</t>
  </si>
  <si>
    <t>- Tỷ lệ thực hiện: 130,93%/cổ phiếu (01 cổ phiếu được nhận 13.093 đồng)</t>
  </si>
  <si>
    <t>- Tỷ lệ thực hiện: 18%/ cổ phiếu (01 cổ phiếu được nhận 1.800 đồng)</t>
  </si>
  <si>
    <t>- Tỷ lệ thực hiện: 1:1 (1 cổ phiếu – 1 quyền biểu quyết)
- Tỷ lệ thực hiện: 25%/cổ phiếu (01 cổ phiếu được nhận 2.500 đồng)</t>
  </si>
  <si>
    <t>- Tỷ lệ thực hiện: 10%</t>
  </si>
  <si>
    <t>- Tỷ lệ thực hiện :  30% (01 cổ phiếu được nhận 3.000 đồng)</t>
  </si>
  <si>
    <t>- Tỷ lệ thực hiện: 200%/cổ phiếu (01 cổ phiếu được nhận 20.000 đồng)</t>
  </si>
  <si>
    <t>- Tỷ lệ thực hiện:  20% (01 cổ phiếu được nhận 2.000 đồng)</t>
  </si>
  <si>
    <t>- Tỷ lệ thực hiện: 01 cổ phiếu – 01 quyền biểu quyết
- Tỷ lệ thực hiện: 7%/cổ phiếu (01 cổ phiếu được nhận 700 đồng)</t>
  </si>
  <si>
    <t>- Tỷ lệ thực hiện:6,5%/cổ phiếu (Người sở hữu 200 cổ phiếu được nhận 13 cổ phiếu mới)</t>
  </si>
  <si>
    <t>- Tỷ lệ thực hiện: 01 cổ phiếu – 01 quyền biểu quyết
2. Chi trả cổ tức năm 2018 và 2019 bằng tiền:
- Tỷ lệ thực hiện:
+ Chi trả cổ tức năm 2018: 1,5%/cổ phiếu (01 cổ phiếu được nhận 150 đồng)
+ Chi trả cổ tức năm 2019: 3% (01 cổ phiếu được nhận 300 đồng)</t>
  </si>
  <si>
    <t>- Tỷ lệ thực hiện: 1:1 (01 cổ phiếu - 01 quyền biểu quyết)
- Tỷ lệ thực hiện: 10% (1.000đ/cổ phiếu)</t>
  </si>
  <si>
    <t>- Tỷ lệ thực hiện :  10% (người sở hữu 100 cổ phiếu nhận được 10 cổ phiếu mới)</t>
  </si>
  <si>
    <t>- Tỷ lệ thực hiện: 01 cổ phiếu – 01 quyền biểu quyết
- Tỷ lệ thực hiện: 10%/cổ phiếu (01 cổ phiếu được nhận 1.000 đồng)</t>
  </si>
  <si>
    <t>- Tỷ lệ thực hiện: 1:1 (1 cổ phiếu – 1 quyền biểu quyết)
- Tỷ lệ thực hiện: 9%/cổ phiếu (01 cổ phiếu được nhận 900 đồng)</t>
  </si>
  <si>
    <t>- Tỷ lệ thực hiện: 1:1 (01 cổ phiếu - 01 quyền biểu quyết)
- Tỷ lệ thực hiện: 12,5%/cổ phiếu (01 cổ phiếu được nhận 1.250 đồng)</t>
  </si>
  <si>
    <t>- Tỷ lệ thực hiện: 4% (01 cổ phiếu được nhận 400 đồng)</t>
  </si>
  <si>
    <t>- Tỷ lệ thực hiện: 12%/ cổ phiếu (01 cổ phiếu được nhận 1.200 đồng)
- Tỷ lệ thực hiện: 1:1 (01 cổ phiếu - 01 quyền biểu quyết)</t>
  </si>
  <si>
    <t>- Tỷ lệ thực hiện : 1:1 (1 cổ phiếu - 1 quyền biểu quyết)
b. Chi trả cổ tức phần còn lại bằng tiền năm 2020
- Tỷ lệ thực hiện :  2%/cổ phiếu (01 cổ phiếu được nhận 200 đồng)</t>
  </si>
  <si>
    <t>Tỷ lệ thực hiện: 6%/cổ phiếu (01 cổ phiếu được nhận 600 đồng)</t>
  </si>
  <si>
    <t>- Tỷ lệ thực hiện :  10:1, tương đương 10% (cổ đông sở hữu 10 cổ phiếu sẽ được nhận 01 cổ phiếu mới)</t>
  </si>
  <si>
    <t>- Tỷ lệ thực hiện:  10%/cổ phiếu ( 01cổ phiếu được nhận 1.000 đồng)
- Tỷ lệ thực hiện: 1 cổ phiếu – 1 quyền biểu quyết</t>
  </si>
  <si>
    <t>- Tỷ lệ thực hiện: 1:1 (01 cổ phiếu – 01 quyền biểu quyết)
- Tỷ lệ thực hiện: 50%/cổ phiếu (01 cổ phiếu được nhận 5.000 đồng)</t>
  </si>
  <si>
    <t>+ Tỷ lệ thực hiện: 01 cổ phiếu – 01 quyền biểu quyết
+ Tỷ lệ thực hiện: 15%/cổ phiếu (01 cổ phiếu được nhận 1.500 đồng)</t>
  </si>
  <si>
    <t>1. Chi trả cổ tức 5% của năm 2018 bằng tiền
- Tỷ lệ thực hiện: 5%/cổ phiếu ( 01 cổ phiếu được nhận 500 đồng)
- Tỷ lệ thực hiện: 1:1 (01cổ phiếu – 01 quyền biểu quyết)</t>
  </si>
  <si>
    <t>1/ Chi trả cổ tức năm 2019 bằng tiền
- Tỷ lệ thực hiện: 11%/cổ phiếu (01cổ phiếu được nhận 1.100 đồng)</t>
  </si>
  <si>
    <t>- Tỷ lệ thực hiện: 0,64%/cổ phiếu (01 cổ phiếu được nhận 64 đồng)
- Tỷ lệ thực hiện: 01 cổ phiếu – 01 quyền biểu quyết.</t>
  </si>
  <si>
    <t>+ Tỷ lệ thực hiện: 01 cổ phiếu – 01 quyền biểu quyết
+ Tỷ lệ thực hiện: 4%/cổ phiếu (01 cổ phiếu được nhận 400 đồng)</t>
  </si>
  <si>
    <t>- Tỷ lệ thực hiện: 1 cổ phiếu – 1 quyền biểu quyết
- Tỷ lệ thực hiện: 10%/cổ phiếu ( 01cổ phiếu được nhận 1.000 đồng)</t>
  </si>
  <si>
    <t>- Tỷ lệ thực hiện: 4,5%/cổ phiếu ( 01 cổ phiếu được nhận 450 đồng)
- Tỷ lệ thực hiện: 1 cổ phiếu – 1 quyền biểu quyết</t>
  </si>
  <si>
    <t>- Tỷ lệ thực hiện: 1:1 (1 cổ phiếu – 1 quyền biểu quyết)
- Tỷ lệ thực hiện: 10%/cổ phiếu (01 cổ phiếu được nhận 1.000 đồng)</t>
  </si>
  <si>
    <t>- Tỷ lệ thực hiện: 1:1 (1 cổ phiếu – 1 quyền biểu quyết)
- Tỷ lệ thực hiện: 80%/cổ phiếu (01 cổ phiếu được nhận 8.000 đồng)</t>
  </si>
  <si>
    <t>- Tỷ lệ thực hiện: 01 cổ phiếu – 01 quyền biểu quyết
- Tỷ lệ thực hiện: 12%/cổ phiếu (01 cổ phiếu được nhận 1.200 đồng)</t>
  </si>
  <si>
    <t>- Tỷ lệ thực hiện: 10%/cổ phiếu ( 01cổ phiếu được nhận 1.000 đồng)
- Tỷ lệ thực hiện: 1 cổ phiếu – 1 quyền biểu quyết</t>
  </si>
  <si>
    <t>- Tỷ lệ thực hiện: 1:1 (01 cổ phiếu - 01 quyền biểu quyết)
b) Chi trả cổ tức năm 2019 bằng tiền:
- Tỷ lệ thực hiện: 7%/cổ phiếu (01 cổ phiếu được nhận 700 đồng)</t>
  </si>
  <si>
    <t>- Tỷ lệ thực hiện:  1:1  (1 cổ phiếu – 1 quyền biểu quyết)
- Tỷ lệ thực hiện: 5%/cổ phiếu (01 cổ phiếu được nhận 500 đồng)</t>
  </si>
  <si>
    <t>- Tỷ lệ thực hiện: 01 cổ phiếu – 01 quyền biểu quyết
- Tỷ lệ thực hiện: 3%/cổ phiếu (01 cổ phiếu được nhận 300 đồng)</t>
  </si>
  <si>
    <t>- Tỷ lệ thực hiện: 1:1 (01 cổ phiếu - 01 quyền biểu quyết)
- Tỷ lệ thực hiện: 5%/cổ phiếu (01 cổ phiếu được nhận 500 đồng)</t>
  </si>
  <si>
    <t>+ Tỷ lệ thực hiện: 01 cổ phiếu – 01 quyền biểu quyết
+ Tỷ lệ thực hiện: 10%/cổ phiếu (01 cổ phiếu được nhận 1.000 đồng)</t>
  </si>
  <si>
    <t>+ Tỷ lệ thực hiện: 01 cổ phiếu – 01 quyền biểu quyết
+ Tỷ lệ thực hiện: 8%/cổ phiếu (01 cổ phiếu được nhận 800 đồng)</t>
  </si>
  <si>
    <t>- Tỷ lệ thực hiện: 46,306%/cổ phiếu (tương ứng 1 cổ phần được nhận 4.630,6 đồng) (trong trường hợp cổ tức phân chia bị lẻ thì được làm tròn số tiền cổ tức mỗi cổ đông được nhận đến hàng đồng)</t>
  </si>
  <si>
    <t>-  Tỷ lệ thực hiện: 01 cổ phiếu - 01 quyền biểu quyết
- Tỷ lệ thực hiện: 8%/cổ phiếu (01 cổ phiếu được nhận 800 đồng)</t>
  </si>
  <si>
    <t>- Tỷ lệ thực hiện: 1:1 (01 cổ phiếu - 01 quyền biểu quyết)
- Tỷ lệ thực hiện: 1:1; 12% (1.200đ/cổ phiếu)</t>
  </si>
  <si>
    <t xml:space="preserve">- Tỷ lệ thực hiện: 01 cổ phiếu – 01 quyền biểu quyết  </t>
  </si>
  <si>
    <t>- Tỷ lệ thực hiện:  1:1  (1 cổ phiếu – 1 quyền biểu quyết)
- Tỷ lệ thực hiện: 15%/cổ phiếu (01 cổ phiếu được nhận 1.500 đồng)</t>
  </si>
  <si>
    <t>- Tỷ lệ thực hiện: 1 cổ phiếu – 1 quyền biểu quyết
- Tỷ lệ thực hiện: 12%/cổ phiếu (01 cổ phiếu được nhận 1.200 đồng)</t>
  </si>
  <si>
    <t>- Tỷ lệ thực hiện: 10%/ cổ phiếu  (01 cổ phiếu được nhận 1.000 đồng)
- Tỷ lệ thực hiện: 1:1 (1 cổ phiếu – 1 quyền biểu quyết)</t>
  </si>
  <si>
    <t>- Tỷ lệ thực hiện: 04%/cổ phiếu (01cổ phiếu được nhận 400 đồng)</t>
  </si>
  <si>
    <t>- Tỷ lệ thực hiện: 10%/cổ phiếu (01 cổ phiếu được nhận 1.000 đồng)
- Tỷ lệ thực hiện: 1:1 (01 cổ phiếu - 01 quyền biểu quyết)</t>
  </si>
  <si>
    <t>- Tỷ lệ thực hiện: 1 cổ phiếu – 1 quyền biểu quyết
- Tỷ lệ thực hiện: 7%/cổ phiếu (01 cổ phiếu được nhận 700 đồng)</t>
  </si>
  <si>
    <t>- Tỷ lệ thực hiện: 100:16 (Cổ đông sở hữu 100 cổ phiếu vào ngày chốt danh sách hưởng quyền sẽ được nhận thêm 16 cổ phiếu mới phát hành từ nguồn vốn chủ sở hữu).</t>
  </si>
  <si>
    <t>- Tỷ lệ thực hiện: 7,5%/cổ phiếu (01 cổ phiếu được nhận 750 đồng)</t>
  </si>
  <si>
    <t>- Tỷ lệ thực hiện: 1:1 (01 cổ phiếu - 01 quyền biểu quyết)
- Tỷ lệ thực hiện: 14%/cổ phiếu (01 cổ phiếu được nhận 1.400 đồng)</t>
  </si>
  <si>
    <t>- Tỷ lệ thực hiện: 01 cổ phiếu – 01 quyền biểu quyết
- Tỷ lệ thực hiện: 1,5%/cổ phiếu (01 cổ phiếu được nhận 150 đồng)</t>
  </si>
  <si>
    <t>- Tỷ lệ thực hiện: 20%/cổ phiếu (01 cổ phiếu được nhận 2.000 đồng)
- Tỷ lệ thực hiện: 1 cổ phiếu – 1 quyền biểu quyết</t>
  </si>
  <si>
    <t>- Tỷ lệ thực hiện: 1 cổ phiếu – 1 quyền biểu quyết
- Tỷ lệ thực hiện: 10%/cổ phiếu (01 cổ phiếu được nhận 1.000 đồng)</t>
  </si>
  <si>
    <t>- Tỷ lệ thực hiện: 1:1 (01 cổ phiếu – 01 quyền biểu quyết)
- Tỷ lệ thực hiện: 15%/cổ phiếu (01 cổ phiếu được nhận 1.500 đồng)</t>
  </si>
  <si>
    <t>- Tỷ lệ thực hiện: 11,5%/cổ phiếu (01 cổ phiếu được nhận 1.150 đồng)</t>
  </si>
  <si>
    <t>-     Tỷ lệ thực hiện: 1:1 (01 cổ phiếu - 01 quyền biểu quyết)
- Tỷ lệ thực hiện: 8% (800đ/cổ phiếu)</t>
  </si>
  <si>
    <t>- Tỷ lệ thực hiện: 7%/cổ phiếu (01cổ phiếu được nhận 700 đồng)
- Tỷ lệ thực hiện: 1:1 (1 cổ phiếu – 1 quyền biểu quyết)</t>
  </si>
  <si>
    <t>- Tỷ lệ thực hiện: 1:1 (01 cổ phiếu – 01 quyền biểu quyết)
- Tỷ lệ thực hiện: 4%/cổ phiếu (01 cổ phiếu được nhận 400 đồng)</t>
  </si>
  <si>
    <t>- Tỷ lệ thực hiện: 01 cổ phiếu - 01 quyền biểu quyết
- Tỷ lệ thực hiện: 15%/cổ phiếu (01 cổ phiếu được nhận 1.500 đồng)</t>
  </si>
  <si>
    <t>- Tỷ lệ thực hiện: 15%/cổ phiếu (01 cổ phiếu được nhận 1.500 đồng)
- Tỷ lệ thực hiện: 01 cổ phiếu - 01 quyền biểu quyết</t>
  </si>
  <si>
    <t>- Tỷ lệ thực hiện: 1:1 (01 cổ phiếu – 01 quyền biểu quyết)
- Tỷ lệ thực hiện: 8,75%/cổ phiếu (01 cổ phiếu được nhận 875 đồng)</t>
  </si>
  <si>
    <t>- Tỷ lệ thực hiện: 100:40 (01 cổ phiếu được hưởng 01 quyền, 100 quyền được mua 40 cổ phiếu mới)</t>
  </si>
  <si>
    <t>- Tỷ lệ thực hiện: 1:1 (01 cổ phiếu - 01 quyền biểu quyết)
- Tỷ lệ thực hiện: 15% (1.500đ/cổ phiếu)</t>
  </si>
  <si>
    <t>-     Tỷ lệ thực hiện: 6%/cổ phiếu (Người sở hữu 100 cổ phiếu được nhận 06 cổ phiếu mới)</t>
  </si>
  <si>
    <t>- Tỷ lệ thực hiện:1 cổ phiếu – 1 quyền biểu quyết
- Tỷ lệ thực hiện: 6%/cổ phiếu (01 cổ phiếu được nhận 600 đồng)</t>
  </si>
  <si>
    <t>- Tỷ lệ thực hiện: 6%/cổ phiếu (người sở hữu 01 cổ phiếu được nhận 600 đồng)
- Tỷ lệ thực hiện: 6%/cổ phiếu (người sở hữu 100 cổ phiếu nhận thêm 06 cổ phiếu mới)</t>
  </si>
  <si>
    <t>- Tỷ lệ thực hiện: 1:1 (1 cổ phiếu – 1 quyền biểu quyết)
- Tỷ lệ thực hiện: 15%/cổ phiếu (01 cổ phiếu được nhận 1.500 đồng)</t>
  </si>
  <si>
    <t>- Tỷ lệ thực hiện: 12%/cổ phiếu (01 cổ phiếu được nhận 1.200 đồng)
- Tỷ lệ thực hiện: 01 cổ phiếu – 01 quyền biểu quyết.</t>
  </si>
  <si>
    <t>- Tỷ lệ thực hiện: 1:1 (01 cổ phiếu - 01 quyền biểu quyết)
- Tỷ lệ thực hiện: 7%/cổ phiếu (01 cổ phiếu được nhận 700 đồng)</t>
  </si>
  <si>
    <t>- Tỷ lệ thực hiện: 25%/cổ phiếu ( 01 cổ phiếu được nhận 2.500 đồng)</t>
  </si>
  <si>
    <t>+ Tỷ lệ thực hiện: 1:3 (01 cổ phiếu được hưởng 01 quyền, 01 quyền được mua 03 cổ phiếu mới)</t>
  </si>
  <si>
    <t>- Tỷ lệ thực hiện: 1 cổ phiếu – 1 quyền biểu quyết
- Tỷ lệ thực hiện: 7,5%/cổ phiếu (01 cổ phiếu được nhận 750 đồng)</t>
  </si>
  <si>
    <t>-     Tỷ lệ thực hiện: 1:1 (01 cổ phiếu – 01 quyền biểu quyết)
-     Tỷ lệ thực hiện: 7%/cổ phiếu (01 cổ phiếu được nhận 700 đồng)</t>
  </si>
  <si>
    <t>- Tỷ lệ thực hiện: 1:1 (1cổ phiếu – 1 quyền biểu quyết)
- Tỷ lệ thực hiện: 13%/cổ phiếu ( 01cổ phiếu được nhận 1.300 đồng)</t>
  </si>
  <si>
    <t>- Tỷ lệ thực hiện: 20%/1 chứng chỉ quỹ (01 chứng chỉ quỹ được nhận 2.000 đồng)</t>
  </si>
  <si>
    <t>- Tỷ lệ thực hiện:  5%/cổ phiếu (01 cổ phiếu được nhận 500 đồng)</t>
  </si>
  <si>
    <t>- Tỷ lệ thực hiện:
- Tỷ lệ thực hiện: 07%/mệnh giá (01 cổ phiếu được nhận 700 đồng)</t>
  </si>
  <si>
    <t>- Tỷ lệ thực hiện: 10% mệnh giá cổ phiếu (01 cổ phiếu được nhận 1.000 đồng)
-  Tỷ lệ thực hiện: 01 cổ phiếu – 01 quyền biểu quyết;</t>
  </si>
  <si>
    <t>- Tỷ lệ thực hiện: 08%/cổ phiếu (01 cổ phiếu được nhận 800 đồng)</t>
  </si>
  <si>
    <t>- Tỷ lệ thực hiện:
+ Chi trả cổ tức năm 2018: 13,80%/cổ phiếu (01 cổ phiếu được nhận 1.380 đồng)
+ Chi trả cổ tức năm 2019: 14,50%/cổ phiếu (01 cổ phiếu được nhận 1.450 đồng)</t>
  </si>
  <si>
    <t>- Tỷ lệ thực hiện: 15%/cổ phiếu (01 cổ phiếu được nhận 1.500 đồng)
-     Tỷ lệ thực hiện: 1:1 (01 cổ phiếu - 01 quyền biểu quyết)</t>
  </si>
  <si>
    <t>- Tỷ lệ thực hiện: 20%/ cổ phiếu (01 cổ phiếu được nhận 2.000 đồng)</t>
  </si>
  <si>
    <t>Tỷ lệ thực hiện: 10%/cổ phiếu (01 cổ phiếu nhận được 1.000 đồng)</t>
  </si>
  <si>
    <t>- Tỷ lệ thực hiện: 10.100:775,7 (01 cổ phiếu được hưởng 01 quyền, 10.100 quyền được mua 775,7 cổ phiếu mới)</t>
  </si>
  <si>
    <t>- Tỷ lệ thực hiện :  10% (01 cổ phiếu được nhận 1.000 đồng)</t>
  </si>
  <si>
    <t>- Tỷ lệ thực hiện: 6%/cổ phiếu (1 cổ phiếu được nhận 600 đồng).</t>
  </si>
  <si>
    <t>- Tỷ lệ thực hiện: 14%/ cổ phiếu (01 cổ phiếu được nhận 1.400 đồng)</t>
  </si>
  <si>
    <t>- Tỷ lệ thực hiện: 2%/cổ phiếu (01 cổ phiếu nhận được 200 đồng)</t>
  </si>
  <si>
    <t>- Tỷ lệ thực hiện: Tỷ lệ thực hiện quyền mua là 100 : 57,143 (tại thời điểm chốt danh sách cổ đông sở hữu 1 cổ phiếu sẽ được nhận 1 quyền mua, cứ mỗi 100 quyền mua được mua thêm 57,143 cổ phiếu phát hành thêm).</t>
  </si>
  <si>
    <t>- Tỷ lệ thực hiện: 3,09:100 (Cổ đông sở hữu 100 phiếu sẽ được nhận 3,09 cổ phiếu mới)</t>
  </si>
  <si>
    <t>-     Tỷ lệ thực hiện: 30 %/cổ phiếu (01 cổ phiếu được nhận 3.000 đồng)</t>
  </si>
  <si>
    <t>- Tỷ lệ thực hiện: 10%/cổ phiếu (1.000đ/cổ phiếu)</t>
  </si>
  <si>
    <t>- Tỷ lệ thực hiện: 100:9 (01 cổ phiếu được hưởng 01 quyền, 100 quyền được mua 09 cổ phiếu mới)</t>
  </si>
  <si>
    <t>- Tỷ lệ thực hiện: 5%/cổ phiếu (1 cổ phiếu được nhận 500 đồng)
- Tỷ lệ thực hiện: 10% (người sở hữu 10 cổ phiếu được nhận 1 cổ phiếu mới)</t>
  </si>
  <si>
    <t>- Tỷ lệ thực hiện: 6,3%/cổ phiếu (01 cổ phiếu được nhận 630 đồng)</t>
  </si>
  <si>
    <t>- Tỷ lệ thực hiện: 10%/cổ phiếu (mỗi cổ phiếu được nhận 1.000 đồng)</t>
  </si>
  <si>
    <t>- Tỷ lệ thực hiện: 89:7 (89 quyền được mua 07 cổ phiếu mới).</t>
  </si>
  <si>
    <t>- Tỷ lệ thực hiện: 10:3 (01 cổ phiếu được hưởng 01 quyền, 10 quyền được mua 03 cổ phiếu mới)
- Tỷ lệ thực hiện: 01 cổ phiếu – 01 quyền biểu quyết</t>
  </si>
  <si>
    <t>- Tỷ lệ thực hiện: 2:1 (01 cổ phiếu được hưởng 01 quyền, 02 quyền được mua 01 cổ phiếu mới).</t>
  </si>
  <si>
    <t>- Tỷ lệ thực hiện: 10:1 (Cổ đông sở hữu 10 cổ phiếu tại thời điểm chốt danh sách sẽ được nhận 01 cổ phiếu mới)
- Tỷ lệ thực hiện: 1:2 (01 cổ phiếu được hưởng 01 quyền, 01 quyền được mua 02 cổ phiếu mới)</t>
  </si>
  <si>
    <t>-     Tỷ lệ thực hiện: 5:1 (05 quyền mua được mua 01 cổ phiếu mới)</t>
  </si>
  <si>
    <t>- Tỷ lệ thực hiện: 100.000:68.337 (01 cổ phiếu được hưởng 01 quyền, 100.000 quyền được mua 68.337 cổ phiếu mới).</t>
  </si>
  <si>
    <t>+ Tỷ lệ thực hiện: 1:2 ( 01 quyền được mua 02 cổ phiếu mới).</t>
  </si>
  <si>
    <t>- Tỷ lệ thực hiện: 3%  ( 01 cổ phiếu được nhận 300 đồng)</t>
  </si>
  <si>
    <t>+ Chi trả cổ tức năm 2019 bằng tiền mặt
- Tỷ lệ thực hiện: 50% (02 cổ phiếu được hưởng 01 quyền, 01 quyền được mua 01 cổ phiếu mới)
2. Chi trả cổ tức năm 2019 bằng tiền
- Tỷ lệ thực hiện: 15% (01 cổ phiếu được nhận 1.500 đồng)</t>
  </si>
  <si>
    <t>Tỷ lệ thực hiện: 20%/cổ phiếu ( 01 cổ phiếu được nhận 2.000 đồng)
- Tỷ lệ thực hiện: 5:1 (01 cổ phiếu được hưởng 01 quyền, 05 quyền được mua 01 cổ phiếu mới).</t>
  </si>
  <si>
    <t>- Tỷ lệ thực hiện: 100 : 36,45 (Nghĩa là, tại ngày chốt danh sách cổ đông để thực hiện quyền mua cổ phiếu chào bán cho cổ đông hiện hữu, cổ đông sở hữu 01 cổ phiếu sẽ được hưởng 01 quyền mua và cứ 100 quyền mua sẽ được mua 36,45 cổ phiếu mới phát hành thêm. Số cổ phiếu cổ đông được mua sẽ làm tròn xuống đến hàng đơn vị).</t>
  </si>
  <si>
    <t>+ Tỷ lệ thực hiện: 4:3 (Căn cứ vào ngày chốt danh sách cổ đông thực hiện quyền, cổ đông sở hữu 1 cổ phiếu được hưởng 1 quyền, cứ 4 quyền được mua thêm 3 cổ phiếu mới chào bán)</t>
  </si>
  <si>
    <t>-  Tỷ lệ thực hiện: 6%/cổ phiếu (01 cổ phiếu được nhận 600 đồng)</t>
  </si>
  <si>
    <t>- Lý do và mục đích: Chi trả cổ tức tạm ứng lần 1 năm 2020 bằng tiền
- Tỷ lệ thực hiện: 10%/cổ phiếu (01 cổ phiếu được nhận 1.000 đồng)</t>
  </si>
  <si>
    <t>+ Tỷ lệ thực hiện: 2:1 (Tại ngày chốt danh sách để thực hiện quyền, cổ đông sở hữu 01 cổ phần sẽ được hưởng 01 quyền, 01 quyền được mua 02 cổ phần mới)
+ Tỷ lệ thực hiện: 2:1 (Tại ngày chốt danh sách để thực hiện quyền, cổ đông sở hữu 01 cổ phần sẽ được hưởng 01 quyền, 02 quyền được mua 01 cổ phần mới)</t>
  </si>
  <si>
    <t>- Lý do và mục đích: Chi trả cổ tức năm 2019 và Tạm ứng cổ tức năm 2020 bằng tiền
-Tỷ lệ thực hiện: 12%/cổ phiếu (01 cổ phiếu được nhận 1.200 đồng), trong đó:
                  + Chi trả cổ tức năm 2019 bằng tiền:    6%/cổ phiếu</t>
  </si>
  <si>
    <t>Tỷ lệ thực hiện: 15%/cổ phiếu (01 cổ phiếu nhận được 1.500 đồng)</t>
  </si>
  <si>
    <t>Tỷ lệ thực hiện: 20%/cổ phiếu (01 cổ phiếu được nhận 2000 đồng)</t>
  </si>
  <si>
    <t>- Tỷ lệ thực hiện: 1:4 (01 cổ phiếu được hưởng 04 quyền mua, 01 quyền mua được mua 01 cổ phiếu mới)</t>
  </si>
  <si>
    <t>-     Tỷ lệ thực hiện: 100:42,02 (100 cổ phiếu được hưởng 42,02 quyền, 01 quyền được mua 01 cổ phiếu mới)</t>
  </si>
  <si>
    <t>Căn cứ Thông báo số: 1668/TB-CNVSD ngày 09/12/2020 của Trung tâm Lưu ký chứng khoán Việt Nam - Chi nhánh TP.Hồ Chí Minh (CNVSD) về ngày đăng ký cuối cùng để Chi trả cổ tức năm 2019 bằng tiền của CTCP Du lịch quốc tế Vũng Tàu với ngày thanh toán là ngày: 31/12/2020.</t>
  </si>
  <si>
    <t>-     Tỷ lệ thực hiện:       15%/cổ phiếu (01 cổ phiếu nhận được 1.500 đồng)</t>
  </si>
  <si>
    <t>- Tỷ lệ thực hiện: 55:8 (01 cổ phiếu được hưởng 01 quyền, 55 quyền được mua 08 cổ phiếu mới).</t>
  </si>
  <si>
    <t>- Tỷ lệ thực hiện: 6%/cổ phiếu (600đ/cổ phiếu)</t>
  </si>
  <si>
    <t>1. Chi trả cổ tức năm 2019 bằng tiền:
  Tỷ lệ thực hiện: 20%/cổ phiếu (01 cổ phiếu được nhận 2.000 đồng)
- Tỷ lệ thực hiện: 10%/cổ phiếu (01 cổ phiếu được nhận 1.000 đồng)
- Tỷ lệ thực hiện: 10%/cổ phiếu (01 cổ phiếu được nhận 1.000 đồng)
2. Chi trả cổ tức năm 2019 bằng cổ phiếu
- Tỷ lệ thực hiện: 100:40 (cổ đông hiện hữu tại ngày chốt danh sách cổ đông để chi trả cổ tức sở hữu 100 cổ phiếu sẽ được nhận thêm 40 cổ phiếu mới).</t>
  </si>
  <si>
    <t>- Tỷ lệ thực hiện: 2:1 (Tại ngày chốt danh sách để thực hiện quyền, cổ đông sở hữu 01 cổ phần sẽ được hưởng 01 quyền, 01 quyền được mua 02 cổ phần mới).</t>
  </si>
  <si>
    <t>- Tỷ lệ thực hiện: 20:1 (Người sở hữu 20 cổ phiếu được nhận 01 cổ phiếu mới)</t>
  </si>
  <si>
    <t>- Tỷ lệ thực hiện: 25%/cổ phiếu (người sở hữu 01 cổ phiếu được nhận 2.500 đồng)</t>
  </si>
  <si>
    <t>- Tỷ lệ thực hiện: 0,9237%/cổ phiếu (cổ đông sở hữu 100 cổ phiếu được nhận 0,9237 cổ phiếu mới)</t>
  </si>
  <si>
    <t>- Tỷ lệ thực hiện: 100:7 (Người sở hữu 100 cổ phiếu được nhận 07 cổ phiếu mới).</t>
  </si>
  <si>
    <t>- Tỷ lệ thực hiện: 52,529%/cổ phiếu (01 cổ phiếu nhận được 5.252,9 đồng). Số tiền cổ tức mỗi cổ đông nhận được sẽ làm tròn đến hàng đơn vị đồng.</t>
  </si>
  <si>
    <t>- Tỷ lệ thực hiện: 1:1 (1 cổ phiếu – 1 quyền biểu quyết)
- Tỷ lệ thực hiện: 5%/cổ phiếu (01cổ phiếu được nhận 500 đồng)</t>
  </si>
  <si>
    <t>-  Tỷ lệ thực hiện: 19,915:1 (01 cổ phiếu được hưởng 01 quyền, 19,915 quyền được mua 01 trái phiếu).</t>
  </si>
  <si>
    <t>- Lý do và mục đích: Chi trả cổ tức năm 2019 bằng tiền
- Tỷ lệ thực hiện: 20%/cổ phiếu (01 cổ phiếu được nhận 2.000 đồng)</t>
  </si>
  <si>
    <t>-     Tỷ lệ thực hiện: 20%/cổ phiếu (01 cổ phiếu được nhận 2.000 đồng)</t>
  </si>
  <si>
    <t>1. Chi trả cổ tức bằng cổ phiếu:
- Tỷ lệ thực hiện: 3% tổng số cổ phiếu đang lưu hành, tương ứng với tỷ lệ thực hiện quyền là 100:3 (cổ đông sở hữu 100 cổ phiếu sẽ được nhận thêm 03 cổ phiếu mới).
- Tỷ lệ thực hiện: 7% tổng số cổ phiếu đang lưu hành, tương ứng với tỷ lệ thực hiện quyền là 100:7 (cổ đông sở hữu 100 cổ phiếu sẽ được nhận thêm 07 cổ phiếu mới).</t>
  </si>
  <si>
    <t xml:space="preserve"> Tỷ lệ thực hiện: 5%/cổ phiếu (01 cổ phiếu được nhận 500 đồng)</t>
  </si>
  <si>
    <t>- Tỷ lệ thực hiện: 9:1 (Mỗi cổ đông tại thời điểm chốt danh sách cổ đông nắm giữ 09 cổ phiếu sẽ được hưởng 01 quyền mua, mỗi quyền mua được mua 01 cổ phiếu phát hành thêm).</t>
  </si>
  <si>
    <t>- Tỷ lệ thực hiện: 15%/cổ phiếu (1.500đ/cổ phiếu)</t>
  </si>
  <si>
    <t xml:space="preserve"> Tỷ lệ thực hiện: 8 %/cổ phiếu (01 cổ phiếu được nhận 800 đồng)</t>
  </si>
  <si>
    <t>- Tỷ lệ thực hiện: 20:1 (tại thời điểm chốt danh sách cổ đông, mỗi cổ đông đang sở hữu 20 cổ phiếu sẽ nhận được 01 cổ phiếu mới)</t>
  </si>
  <si>
    <t>- Tỷ lệ thực hiện: 8:1 (01 cổ phiếu được hưởng 01 quyền, 08 quyền được mua 01 cổ phiếu mới)</t>
  </si>
  <si>
    <t>+ Tỷ lệ thực hiện: 100:5 (01 cổ phiếu được hưởng 01 quyền, 100 quyền được mua 05 cổ phiếu mới)</t>
  </si>
  <si>
    <t>- Tỷ lệ thực hiện: 100:5 (Tại ngày chốt danh sách cổ đông để thực hiện quyền, cổ đông nắm giữ 100 cổ phần cũ được nhận thêm 05 cổ phần mới)</t>
  </si>
  <si>
    <t>- Tỷ lệ thực hiện: 20%/cổ phiếu (Cổ đông sở hữu 10 cổ phiếu sẽ được nhận 02 cổ phiếu mới)</t>
  </si>
  <si>
    <t>-  Tỷ lệ thực hiện: 1:1 (01 cổ phiếu được hưởng 01 quyền, 01 quyền được mua 01 cổ phiếu mới)</t>
  </si>
  <si>
    <t>- Tỷ lệ thực hiện: 20:1 (Cổ đông sở hữu 20 cổ phiếu được nhận 01 cổ phiếu mới).
- Tỷ lệ thực hiện: 1:1 (01 cổ phiếu được hưởng 01 quyền mua, 01 quyền mua được mua 01 cổ phiếu mới)
+ Tỷ lệ thực hiện quyền mua cổ phiếu phát hành thêm là 1:1 nên sẽ không phát sinh cổ phiếu lẻ. Số lượng cổ phiếu không đặt mua hết (nếu có) được Đại hội đồng cổ đông ủy quyền cho Hội đồng quản trị quyết định bán cho các đối tượng khác (kể cả các cổ đông của công ty có nhu cầu tăng sở hữu cổ phần).</t>
  </si>
  <si>
    <t>- Tỷ lệ thực hiện: 5%/cổ phiếu, tương ứng tỷ lệ thực hiện quyền 20:1 (cổ đông sở hữu 20 cổ phiếu sẽ được nhận 01 cổ phiếu mới).
- Tỷ lệ thực hiện: 9:5 (01 cổ phiếu được hưởng 01 quyền mua, 09 quyền mua được mua 05 cổ phiếu mới)</t>
  </si>
  <si>
    <t>- Lý do và mục đích: Chi trả cổ tức năm 2019 bằng tiền
- Tỷ lệ thực hiện: 12%/cổ phiếu (01 cổ phiếu được nhận 1.200 đồng)</t>
  </si>
  <si>
    <t>-     Tỷ lệ thực hiện: 20% cổ phiếu ( 01 cổ phiếu được nhận 2.000 đồng)</t>
  </si>
  <si>
    <t>- Tỷ lệ thực hiện: 4.5 %/cổ phiếu (01 cổ phiếu được nhận 450 đồng)</t>
  </si>
  <si>
    <t>-     Tỷ lệ thực hiện: 10%/cổ phiếu (01 cổ phiếu được nhận 1.000 đồng)</t>
  </si>
  <si>
    <t>- Lý do và mục đích: Chi trả cổ tức năm 2019 bằng tiền
- Tỷ lệ thực hiện: 4%/cổ phiếu (01 cổ phiếu được nhận 400 đồng)</t>
  </si>
  <si>
    <t>Lý do và mục đích: Chi trả cổ tức năm 2019 bằng tiền
- Tỷ lệ thực hiện: 2,8%/cổ phiếu (01 cổ phiếu được nhận 280 đồng)</t>
  </si>
  <si>
    <t>-  Tỷ lệ thực hiện: 8%/cổ phiếu (01 cổ phiếu được nhận 800 đồng)</t>
  </si>
  <si>
    <t>- Lý do và mục đích: Chi trả cổ tức năm 2019 bằng tiền
- Tỷ lệ thực hiện: 0,35%/cổ phiếu (01 cổ phiếu được nhận 35 đồng)</t>
  </si>
  <si>
    <t>Lý do và mục đích: Chi trả cổ tức năm 2019 bằng tiền
- Tỷ lệ thực hiện: 12%/cổ phiếu (01 cổ phiếu được nhận 1.200 đồng)</t>
  </si>
  <si>
    <t>- Tỷ lệ thực hiện: 40%/cổ phiếu ( Người sở hữu 5 cổ phiếu được nhận 2 cổ phiếu mới)</t>
  </si>
  <si>
    <t>- Tỷ lệ thực hiện:   10% (01 cổ phiếu được nhận 1.000 đồng)</t>
  </si>
  <si>
    <t>- Tỷ lệ thực hiện: 9,776%/cổ phiếu (01 cổ phiếu được nhận 977,6 đồng). Số tiền cổ tức mỗi cổ đông nhận được sẽ được làm tròn đến hàng đơn vị đồng.</t>
  </si>
  <si>
    <t>-     Tỷ lệ thực hiện: 1:1 (01 cổ phiếu - 01 quyền biểu quyết)
-  Tỷ lệ thực hiện: 12%/cổ phiếu (01 cổ phiếu được nhận 1.200 đồng)</t>
  </si>
  <si>
    <t>Lý do và mục đích: Chi trả cổ tức năm 2019 bằng tiền</t>
  </si>
  <si>
    <t>- Tỷ lệ thực hiện: 40% (01 cổ phiếu được nhận 4.000 đồng)</t>
  </si>
  <si>
    <t>Lý do và mục đích: Chi trả cổ tức năm 2019 bằng tiền
Tỷ lệ thực hiện: 40%/cổ phiếu (01 cổ phiếu được nhận 4.000 đồng)</t>
  </si>
  <si>
    <t>- Tỷ lệ thực hiện: 6% (01 cổ phiếu được nhận 600 đồng)</t>
  </si>
  <si>
    <t>- Lý do và mục đích: Chi trả cổ tức năm 2019 bằng tiền
- Tỷ lệ thực hiện: 8,735%/cổ phiếu (tương ứng 10 cổ phần được nhận 8.735 đồng) (trong trường hợp cổ tức phân chia bị lẻ thì được làm tròn số tiền cổ tức mỗi cổ đông được nhận đến hàng đồng)</t>
  </si>
  <si>
    <t>Lý do và mục đích: Chi trả cổ tức năm 2019 bằng tiền 
- Tỷ lệ thực hiện: 10%/cổ phiếu ( 01 cổ phiếu được nhận 1.000 đồng)</t>
  </si>
  <si>
    <t>Lý do và mục đích: Chi trả cổ tức năm 2019 bằng tiền
- Tỷ lệ thực hiện: 3%/cổ phiếu (01 cổ phiếu được nhận 300 đồng)</t>
  </si>
  <si>
    <t>Lý do và mục đích: Chi trả cổ tức năm 2019 bằng tiền
- Tỷ lệ thực hiện: 6%/cổ phiếu (01 cổ phiếu được nhận 600 đồng)</t>
  </si>
  <si>
    <t>- Chi trả cổ tức năm 2019 bằng tiền
- Chi trả cổ tức năm 2019 bằng cổ phiếu
1.1 Chi trả cổ tức năm 2019 bằng tiền
- Tỷ lệ thực hiện: 5%/cổ phiếu (01cổ phiếu được nhận 500 đồng)
1.2.Chi trả cổ tức năm 2019 bằng cổ phiếu
- Tỷ lệ thực hiện: 15% (Người sở hữu 100 cổ phiếu được nhận 15 cổ phiếu mới).</t>
  </si>
  <si>
    <t>-     Chi trả cổ tức đặc biệt bằng tiền
a.      Chi trả cổ tức đặc biệt bằng tiền
-     Tỷ lệ thực hiện : 30%/cổ phiếu (01 cổ phiếu được nhận 3.000 đồng)</t>
  </si>
  <si>
    <t>-     Tỷ lệ thực hiện: 10 %/cổ phiếu (01 cổ phiếu được nhận 1.000 đồng)</t>
  </si>
  <si>
    <t>Lý do và mục đích: Chi trả cổ tức bằng tiền năm 2019
- Tỷ lệ thực hiện: 4%/cổ phiếu (01 cổ phiếu được nhận 400 đồng)</t>
  </si>
  <si>
    <t>- Lý do và mục đích: Chi trả cổ tức lần 3 năm 2019 bằng tiền
- Tỷ lệ thực hiện: 10%/cổ phiếu (01 cổ phiếu được nhận 1.000 đồng)</t>
  </si>
  <si>
    <t xml:space="preserve">- Tỷ lệ thực hiện: </t>
  </si>
  <si>
    <t>- Tỷ lệ thực hiện: 1:1 (cổ đông sở hữu 01 cổ phiếu sẽ có 01 quyền, 01 quyền được mua 01 cổ phiếu phát hành thêm)</t>
  </si>
  <si>
    <t>Lý do và mục đích: Chi trả cổ tức năm 2019 bằng tiền
- Tỷ lệ thực hiện: 7,66%/cổ phiếu (01 cổ phiếu được nhận 766 đồng)</t>
  </si>
  <si>
    <t>- Tỷ lệ thực hiện: 2%/cổ phiếu ( 01cổ phiếu được nhận 200 đồng)</t>
  </si>
  <si>
    <t>- Lý do và mục đích: Chi trả cổ tức năm 2019 bằng cổ phiếu</t>
  </si>
  <si>
    <t>Tỷ lệ thực hiện: 25%/cổ phiếu (01 cổ phiếu được nhận 2.500 đồng)</t>
  </si>
  <si>
    <t>- Tỷ lệ thực hiện: 4,53%/cổ phiếu (01 cổ phiếu nhận 453 đồng)</t>
  </si>
  <si>
    <t>- Lý do và mục đích: Chi trả cổ tức năm 2019 bằng tiền
- Tỷ lệ thực hiện: 16%/cổ phiếu (01 cổ phiếu được nhận 1.600 đồng)</t>
  </si>
  <si>
    <t>- Lý do và mục đích: Chi trả cổ tức năm 2019 bằng tiền
- Tỷ lệ thực hiện: 5%/cổ phiếu (01 cổ phiếu được nhận 500 đồng)</t>
  </si>
  <si>
    <t>- Tỷ lệ thực hiện: 10% cổ phiếu ( 01 cổ phiếu được nhận 1.000 đồng)</t>
  </si>
  <si>
    <t>Lý do và mục đích: Chi trả cổ tức năm 2019 bằng tiền
- Tỷ lệ thực hiện: 7% (01 cổ phiếu được nhận 700 đồng)</t>
  </si>
  <si>
    <t>- Lý do và mục đích: Chi trả cổ tức năm 2019 bằng tiền
- Tỷ lệ thực hiện: 5%/cổ phiếu (1 cổ phiếu được nhận 500 đồng)</t>
  </si>
  <si>
    <t>- Lý do và mục đích: Chi trả cổ tức năm 2019 bằng tiền
- Tỷ lệ thực hiện: 5%/cổ phiếu (01 cổ phiếu nhận được 500 đồng).</t>
  </si>
  <si>
    <t>- Tỷ lệ thực hiện: 100:40 (01 cổ phiếu được hưởng 1 quyền mua, cổ đông sở hữu 100 quyền mua được mua thêm 40 cổ phiếu mới)</t>
  </si>
  <si>
    <t>Tỷ lệ thực hiện: 539:2.961 (01 cổ phiếu được hưởng 01 quyền, 539 quyền được mua 2.961 cổ phiếu mới)</t>
  </si>
  <si>
    <t>- Tỷ lệ thực hiện:
- Tỷ lệ thực hiện: 20%/cổ phiếu (01 cổ phiếu được nhận 2.000 đồng)</t>
  </si>
  <si>
    <t>- Tỷ lệ thực hiện: 18% cổ phiếu (01 cổ phiếu được nhận 1.800 đồng)</t>
  </si>
  <si>
    <t>Tỷ lệ thực hiện: 8% (01 cổ phiếu được nhận 800 đồng), bao gồm:</t>
  </si>
  <si>
    <t>- Tỷ lệ thực hiện: 04%/cổ phiếu (01 cổ phiếu được nhận 400 đồng)</t>
  </si>
  <si>
    <t>- Tỷ lệ thực hiện: 60%/cổ phiếu (01 cổ phiếu được nhận 6.000 đồng)
- Tỷ lệ thực hiện: 2:1 (Người sở hữu 02 cổ phiếu sẽ được nhận 01 cổ phiếu mới)</t>
  </si>
  <si>
    <t>Lý do và mục đích: Chi trả cổ tức bằng tiền năm 2019
- Tỷ lệ thực hiện: 21%/cổ phiếu (01 cổ phiếu được nhận 2.100 đồng)</t>
  </si>
  <si>
    <t>Lý do và mục đích: Chi trả cổ tức năm 2019 bằng tiền
Tỷ lệ thực hiện: 12%/cổ phiếu (01 cổ phiếu nhận được 1.200 đồng)</t>
  </si>
  <si>
    <t>-     Tỷ lệ thực hiện:    3%/cổ phiếu (01 cổ phiếu nhận được 300 đồng)</t>
  </si>
  <si>
    <t>- Tỷ lệ thực hiện: 1,45%/cổ phiếu (01 cổ phiếu được nhận 145 đồng)</t>
  </si>
  <si>
    <t>- Lý do và mục đích: Chi trả cổ tức năm 2019 bằng tiền</t>
  </si>
  <si>
    <t>- Lý do và mục đích: Chi trả cổ tức năm tài chính 2019 bằng tiền
- Tỷ lệ thực hiện: 11,08%/cổ phiếu (1 cổ phiếu được nhận 1.108 đồng)</t>
  </si>
  <si>
    <t>- Lý do và mục đích: Chi trả cổ tức năm 2019 bằng tiền
- Tỷ lệ thực hiện: 3%/cổ phiếu (01 cổ phiếu được nhận 300 đồng)</t>
  </si>
  <si>
    <t>Tỷ lệ thực hiện: 4:1 (01 cổ phiếu được hưởng 01 quyền, 4 quyền được mua 1 cổ phiếu mới)</t>
  </si>
  <si>
    <t>- Tỷ lệ thực hiện: 10% (Cổ đông sở hữu 100 cổ phiếu được nhận 10 cổ phiếu mới)</t>
  </si>
  <si>
    <t>Tỷ lệ thực hiện: 1:1 (01 cổ phiếu được hưởng 01 quyền, 1 quyền được mua 1 cổ phiếu mới)</t>
  </si>
  <si>
    <t>- Tỷ lệ thực hiện: 12%/cổ phiếu  (01 cổ phiếu được nhận 1.200 đồng)</t>
  </si>
  <si>
    <t>- Tỷ lệ thực hiện: 9,5%/cổ phiếu (01 cổ phiếu được nhận 950 đồng)</t>
  </si>
  <si>
    <t>Lý do và mục đích: Chi trả cổ tức năm 2019 bằng tiền
- Tỷ lệ thực hiện: 25,21%/cổ phiếu (2.521đ/cổ phiếu)</t>
  </si>
  <si>
    <t>- Lý do và mục đích: Chi trả cổ tức năm 2019 bằng tiền mặt
- Tỷ lệ thực hiện: 0,71%/cổ phiếu (01 cổ phiếu được nhận 71 đồng)</t>
  </si>
  <si>
    <t>- Tỷ lệ thực hiện: 26,923138% (cổ đông sở hữu 100 cổ phiếu sẽ được nhận 26,923138 cổ phiếu mới)</t>
  </si>
  <si>
    <t>- Tỷ lệ thực hiện: 4,39%/cổ phiếu ( 01 cổ phiếu được nhận 439 đồng)</t>
  </si>
  <si>
    <t>- Lý do và mục đích: Chi trả cổ tức năm 2019 bằng tiền
- Tỷ lệ thực hiện: 45%/cổ phiếu (1 cổ phiếu được nhận 4.500 đồng)</t>
  </si>
  <si>
    <t>- Lý do và mục đích: Chi trả cổ tức năm 2019 bằng tiền
- Tỷ lệ thực hiện: 8%/cổ phiếu (1 cổ phiếu được nhận 800 đồng).</t>
  </si>
  <si>
    <t>- Tỷ lệ thực hiện: 1:1 (01 cổ phiếu - 01 quyền biểu quyết)</t>
  </si>
  <si>
    <t>- Tỷ lệ thực hiện: 1.000:499 (01 cổ phiếu được hưởng 01 quyền, 1.000 quyền được mua 499 cổ phiếu mới)</t>
  </si>
  <si>
    <t>Lý do và mục đích: Chi trả cổ tức năm 2019 bằng tiền
- Tỷ lệ thực hiện: 5%/cổ phiếu ( 01cổ phiếu được nhận 500 đồng)</t>
  </si>
  <si>
    <t>Tỷ lệ thực hiện: 18%/cổ phiếu (01 cổ phiếu được nhận 1.800 đồng)</t>
  </si>
  <si>
    <t>- Tỷ lệ thực hiện: 43%/cổ phiếu (01 cổ phiếu được nhận 4.300 đồng)</t>
  </si>
  <si>
    <t>- Tỷ lệ thực hiện: 4,5%/cổ phiếu (01 cổ phiếu nhận được 450 đồng)</t>
  </si>
  <si>
    <t>Tỷ lệ thực hiện: 100:42 (Người sở hữu 100 cổ phiếu được nhận 42 cổ phiếu mới)</t>
  </si>
  <si>
    <t>- Tỷ lệ thực hiện: 50%/cổ phiếu (5.000đ/cổ phiếu)</t>
  </si>
  <si>
    <t>-     Chi trả cổ tức bằng tiền năm 2019
1.1.     Chi trả cổ tức bằng tiền năm 2019
- Tỷ lệ thực hiện: 4%/cổ phiếu (01cổ phiếu được nhận 400 đồng)
- Tỷ lệ thực hiện: 15% (Người sở hữu 100 cổ phiếu được nhận 15 cổ phiếu mới).</t>
  </si>
  <si>
    <t>- Lý do và mục đích: Chi trả cổ tức bằng tiền mặt năm 2019
- Tỷ lệ thực hiện: 2,4%/cổ phiếu (01 cổ phiếu được nhận 240 đồng)</t>
  </si>
  <si>
    <t>- Tỷ lệ thực hiện: 20% tương đương tỷ lệ 100:20 (Cổ đông sở hữu 100 cổ phiếu sẽ được nhận 20 cổ phiếu mới)</t>
  </si>
  <si>
    <t>- Tỷ lệ thực hiện: 1,11%/cổ phiếu (01 cổ phiếu được nhận 111 đồng)</t>
  </si>
  <si>
    <t>Lý do và mục đích   : Chi trả cổ tức năm 2019 bằng tiền
Tỷ lệ thực hiện: 20%/cổ phiếu (01 cổ phiếu được nhận 2.000 đồng)</t>
  </si>
  <si>
    <t>Lý do và mục đích: Chi trả cổ tức đợt cuối năm 2019 (5,18%/cổ phiếu) và Tạm ứng chi trả cổ tức năm 2020 (3,5%/cổ phiếu) bằng tiền mặt
- Tỷ lệ thực hiện: 8,68%/cổ phiếu ( 01cổ phiếu được nhận 868 đồng)</t>
  </si>
  <si>
    <t>- Tỷ lệ thực hiện: 20%/cổ phiếu (Người sở hữu 01 cổ phiếu được nhận 0,2 cổ phiếu thưởng) trên cơ sở tổng số cổ phiếu quỹ là 0 cổ phiếu và số cổ phiếu đang lưu hành (được hưởng quyền) là 924.491.395 cổ phiếu.</t>
  </si>
  <si>
    <t>+ Tỷ lệ thực hiện: 10%/cổ phiếu (01 cổ phiếu được nhận 1.000 đồng)
+ Tỷ lệ thực hiện: 01 cổ phiếu – 01 quyền biểu quyết</t>
  </si>
  <si>
    <t>Lý do và mục đích: Chi trả cổ tức năm 2019 bằng tiền
- Tỷ lệ thực hiện: 10%/cổ phiếu (01 cổ phiếu được nhận 1.000 đồng).</t>
  </si>
  <si>
    <t>- Tỷ lệ thực hiện: 30%/cổ phiếu ( 01 cổ phiếu được nhận 3.000 đồng)</t>
  </si>
  <si>
    <t>- Tỷ lệ thực hiện: 620.963 : 379.037 (Cổ đông sở hữu 620.963 cổ phiếu được nhận 379.037 cổ phiếu mới)</t>
  </si>
  <si>
    <t>- Lý do và mục đích: Chi trả cổ tức năm 2019 bằng tiền
- Tỷ lệ thực hiện: 10%/cổ phiếu (01 cổ phiếu được nhận 1.000 đồng)</t>
  </si>
  <si>
    <t>- Lý do và mục đích: Chi trả cổ tức lần 3 năm 2019 bằng tiền
- Tỷ lệ thực hiện: 7%/cổ phiếu (01 cổ phiếu được nhận 700 đồng)</t>
  </si>
  <si>
    <t>- Lý do và mục đích: Chi trả cổ tức bằng tiền năm 2019
- Tỷ lệ thực hiện: 03%/cổ phiếu (01 cổ phiếu được nhận 300 đồng)</t>
  </si>
  <si>
    <t>- Lý do và mục đích: Chi trả cổ tức đợt 2 năm 2018 bằng tiền
- Tỷ lệ thực hiện: 4%/cổ phiếu (01 cổ phiếu được nhận 400 đồng)</t>
  </si>
  <si>
    <t>Lý do và mục đích: Chi trả cổ tức năm 2019 bằng tiền
- Tỷ lệ thực hiện: 5,2%/cổ phiếu (01 cổ phiếu được nhận 520 đồng)</t>
  </si>
  <si>
    <t>- Tỷ lệ thực hiện: 10:1 (người sở hữu 10 cổ phiếu nhận được 01 cổ phiếu mới).</t>
  </si>
  <si>
    <t>- Tỷ lệ thực hiện: 100:9 (cổ đông sở hữu 100 cổ phiếu được nhận 09 cổ phiếu phát hành thêm)</t>
  </si>
  <si>
    <t>Tỷ lệ thực hiện: 20%/Vốn điều lệ (1 cổ phiếu được nhận 2.000 đồng)</t>
  </si>
  <si>
    <t>Tỷ lệ thực hiện: 0,5%/cổ phiếu (01 cổ phiếu nhận được 50 đồng)</t>
  </si>
  <si>
    <t>- Tỷ lệ thực hiện: 1,51%/cổ phiếu (01 cổ phiếu nhận được 151 đồng)</t>
  </si>
  <si>
    <t>-     Tỷ lệ thực hiện:    7%/cổ phiếu (01 cổ phiếu nhận được 700 đồng)</t>
  </si>
  <si>
    <t>Lý do và mục đích: Chi trả cổ tức còn lại năm 2019 bằng tiền mặt
Tỷ lệ thực hiện: 5%/cổ phiếu (01 cổ phiếu được nhận 500 đồng)</t>
  </si>
  <si>
    <t>Lý do và mục đích: Chi trả cổ tức năm 2019 bằng tiền
- Tỷ lệ thực hiện: 6% (01 cổ phiếu được nhận 600 đồng)</t>
  </si>
  <si>
    <t>- Tỷ lệ thực hiện: 10%/cổ phiếu (01 cổ phiếu được nhận 1.000 đồng)
+ Tỷ lệ thực hiện: 5%/cổ phiếu (01 cổ phiếu được nhận 500 đồng)
+ Tỷ lệ thực hiện: 5%/cổ phiếu (01 cổ phiếu được nhận 500 đồng)</t>
  </si>
  <si>
    <t>Lý do và mục đích: Chi trả cổ tức đợt 2 năm 2019
- Tỷ lệ thực hiện: 10%/ mệnh giá (01 CP nhận được 1.000 đồng)</t>
  </si>
  <si>
    <t>- Tỷ lệ thực hiện: 10:2 (Người sở hữu 10 cổ phiếu được nhận 02 cổ phiếu mới)</t>
  </si>
  <si>
    <t>- Lý do và mục đích: Chi trả cổ tức năm 2019 bằng tiền đợt 1
- Tỷ lệ thực hiện: 4,409%/cổ phiếu (01 cổ phiếu được nhận 440,9 đồng). Số tiền cổ tức mà cổ đông nhận được sẽ được làm tròn đến hàng đơn vị đồng.</t>
  </si>
  <si>
    <t>- Tỷ lệ thực hiện:  15%/cổ phiếu ( 01cổ phiếu được nhận 1.500 đồng)</t>
  </si>
  <si>
    <t>- Lý do và mục đích: Chi trả cổ tức bằng tiền theo phương án phân phối lợi nhuận của Nghị quyết Đại hội đồng cổ đông thường niên năm 2020
- Tỷ lệ thực hiện: 0,48%/cổ phiếu (01 cổ phiếu được nhận 48 đồng)</t>
  </si>
  <si>
    <t>- Tỷ lệ thực hiện: 1:2 (01 cổ phiếu được hưởng 02 quyền mua, 01 quyền mua được mua 01 cổ phiếu mới)</t>
  </si>
  <si>
    <t>-  Tỷ lệ thực hiện: 2.964.493:93.600.000 (người sở hữu 93.600.000 cổ phiếu được nhận 2.964.493 cổ phiếu mới)</t>
  </si>
  <si>
    <t>- Lý do và mục đích: Chi trả cổ tức năm 2019 bằng tiền
- Tỷ lệ thực hiện: 12%/ cổ phiếu (01 cổ phiếu nhận được 1.200 đồng)</t>
  </si>
  <si>
    <t>Tỷ lệ thực hiện: 5%/mệnh giá (01 cổ phiếu được nhận 500 đồng)</t>
  </si>
  <si>
    <t xml:space="preserve">Tỷ lệ thực hiện: 10%/cổ phiếu (01 cổ phiếu được nhận 1.000 đồng) </t>
  </si>
  <si>
    <t>-     Tỷ lệ thực hiện: 1:1 (01 cổ phiếu - 01 quyền biểu quyết)
- Tỷ lệ thực hiện: 1:1; 12,5% (1.250đ/cổ phiếu)</t>
  </si>
  <si>
    <t>- Lý do và mục đích: Chi trả cổ tức năm 2019 bằng tiền mặt
- Tỷ lệ thực hiện: 10%/cổ phiếu (01 cổ phiếu được nhận 1.000 đồng)</t>
  </si>
  <si>
    <t>1. Trả cổ tức năm 2019 bằng tiền:- Tỷ lệ thực hiện: 15%/cổ phiếu (01 cổ phiếu được nhận 1.500 đồng)
- Tỷ lệ thực hiện: 4:1 (Cổ đông sở hữu 04 cổ phiếu được nhận 01 cổ phiếu mới)</t>
  </si>
  <si>
    <t>- Lý do và mục đích: Chi trả cổ tức năm 2019 bằng tiền
- Tỷ lệ thực hiện: 17%/cổ phiếu (01 cổ phiếu được nhận 1.700 đồng)</t>
  </si>
  <si>
    <t>Lý do và mục đích: Chi trả cổ tức đợt cuối năm 2019 và Tạm ứng cổ tức đợt 1 năm 2020 bằng tiền mặt
- Tỷ lệ thực hiện: 30%/cổ phiếu ( 01cổ phiếu được nhận 3.000 đồng)
(Bao gồm Chi trả cổ tức đợt cuối năm 2019 : 20%/cổ phiếu và Tạm ứng cổ tức đợt 1 năm 2020 : 10%/cổ phiếu)</t>
  </si>
  <si>
    <t>- Chi trả cổ tức năm 2019 bằng tiền
a. Chi trả cổ tức bằng tiền
 - Tỷ lệ thực hiện: 3%/cổ phiếu (01 cổ phiếu được nhận 300 đồng)
- Tỷ lệ thực hiện: 5%/mệnh giá.</t>
  </si>
  <si>
    <t>Lý do và mục đích: Chi trả cổ tức năm 2019 bằng tiền
- Tỷ lệ thực hiện: 18%/cổ phiếu (1.800đ/cổ phiếu)</t>
  </si>
  <si>
    <t>- Tỷ lệ thực hiện: 8%/cổ phiếu (1 cổ phiếu được nhận 800 đồng)</t>
  </si>
  <si>
    <t>Tỷ lệ thực hiện: 7%/cổ phiếu (01 cổ phiếu được nhận 700 đồng)</t>
  </si>
  <si>
    <t>Lý do và mục đích: Chi trả cổ tức bằng tiền năm 2019 và tạm ứng cổ tức bằng tiền năm 2020
- Chi trả cổ tức năm 2019 bằng tiền:
+ Tỷ lệ thực hiện   :   5% (01 cổ phiếu được nhận 500 đồng)
+ Tỷ lệ thực hiện   :   5% (01 cổ phiếu được nhận 500 đồng)</t>
  </si>
  <si>
    <t>Tỷ lệ thực hiện: 1:1 (01 cổ phiếu - 01 quyền biểu quyết)
- Tỷ lệ thực hiện: 10%/cổ phiếu (01 cổ phiếu được nhận 1.000 đồng);</t>
  </si>
  <si>
    <t>- Tỷ lệ thực hiện: 100:40 (Người sở hữu 100 cổ phiếu nhận thêm 40 cổ phiếu mới).
- Tỷ lệ thực hiện: 20%/cổ phiếu (1 cổ phiếu được nhận 2.000 đồng)</t>
  </si>
  <si>
    <t>- Lý do và mục đích: Chi trả cổ tức năm 2019 bằng tiền
- Tỷ lệ thực hiện: 15%/cổ phiếu (01 cổ phiếu được nhận 1.500 đồng)</t>
  </si>
  <si>
    <t>Tỷ lệ thực hiện: 7,5%/cổ phiếu (01 cổ phiếu nhận được 750 đồng)</t>
  </si>
  <si>
    <t>- Tỷ lệ thực hiện: 1:1 (01 cổ phiếu – 01 quyền biểu quyết)
- Tỷ lệ thực hiện: 22%/cổ phiếu (01 cổ phiếu được nhận 2.200 đồng)</t>
  </si>
  <si>
    <t>- Tỷ lệ thực hiện: 12%/cổ phiếu (01 cổ phiếu nhận được 1.200 đồng)</t>
  </si>
  <si>
    <t>- Lý do và mục đích: Chi trả cổ tức bằng cổ phiếu cho cổ đông hiện hữu từ nguồn lợi nhuận sau thuế chưa phân phối.
- Tỷ lệ thực hiện: 100:7 (cổ đông sở hữu 100 cổ phiếu sẽ được nhận 07 cổ phiếu mới)</t>
  </si>
  <si>
    <t>- Tỷ lệ thực hiện:                   40%/cổ phiếu (01 cổ phiếu được nhận 4.000 đồng)</t>
  </si>
  <si>
    <t>- Tỷ lệ thực hiện: 10% (cổ đông sở hữu 100 cổ phiếu được nhận 10 cổ phiếu mới)</t>
  </si>
  <si>
    <t>- Tỷ lệ thực hiện: 10.000:6.378 (Người sở hữu 10.000 cổ phiếu được nhận 6.378 cổ phiếu mới)</t>
  </si>
  <si>
    <t>- Lý do và mục đích: Chi trả cổ tức năm 2019 bằng tiền mặt
- Tỷ lệ thực hiện: 35%/cổ phiếu (01 cổ phiếu được nhận 3.500 đồng)</t>
  </si>
  <si>
    <t>Tỷ lệ thực hiện: 5%/cổ phiếu (01 cổ phiếu nhận được 500 đồng)</t>
  </si>
  <si>
    <t>Lý do và mục đích: Chi trả cổ tức năm 2019 bằng tiền
- Tỷ lệ thực hiện: 10%/cổ phiếu (01cổ phiếu được nhận 1.000 đồng)</t>
  </si>
  <si>
    <t>- Tỷ lệ thực hiện: 861:50 (01 cổ phiếu được hưởng 01 quyền, 861 quyền được mua 50 cổ phiếu mới)</t>
  </si>
  <si>
    <t>- Lý do và mục đích: Chi trả cổ tức năm 2019 bằng tiền
- Tỷ lệ thực hiện: 30,82%/cổ phiếu (1 cổ phiếu được nhận 3.082 đồng)</t>
  </si>
  <si>
    <t>- Tỷ lệ thực hiện: 20%/cổ phiếu (Người sở hữu 100 cổ phiếu được nhận thêm 20 cổ phiếu mới)</t>
  </si>
  <si>
    <t>- Tỷ lệ thực hiện: 5%/cổ phiếu (01 cổ phiếu được nhận 500 đồng)
- Tỷ lệ thực hiện: 5%/cổ phiếu (Cổ đông sở hữu 100 cổ phiếu tại thời điểm chốt danh sách sẽ được nhận 05 cổ phiếu mới)</t>
  </si>
  <si>
    <t>- Tỷ lệ thực hiện: 5%/cổ phiếu (01cổ phiếu được nhận 500 đồng)</t>
  </si>
  <si>
    <t>Lý do và mục đích: Chi trả cổ tức năm 2019 bằng tiền
- Tỷ lệ thực hiện: 2,5%/cổ phiếu (01 cổ phiếu được nhận 250 đồng)</t>
  </si>
  <si>
    <t>Lý do và mục đích: Chi trả cổ tức năm 2019 bằng tiền
- Tỷ lệ thực hiện: 10%/cổ phiếu (01 cổ phiếu được nhận 1.000 đồng)</t>
  </si>
  <si>
    <t>- Tỷ lệ thực hiện: 10:1 (Mỗi cổ đông sở hữu 10 cổ phiếu được nhận 01 cổ phiếu mới)</t>
  </si>
  <si>
    <t>- Lý do và mục đích: Chi trả cổ tức bằng tiền cho năm tài chính 2019
- Tỷ lệ thực hiện: 3%/cổ phiếu (01 cổ phiếu được nhận 300 đồng)</t>
  </si>
  <si>
    <t>Tỷ lệ thực hiện: 25% (01 cổ phiếu được nhận 2.500 đồng)</t>
  </si>
  <si>
    <t>Lý do và mục đích: Chi trả cổ tức năm 2019 bằng cổ phiếu
 - Tỷ lệ thực hiện: 10% (người sở hữu 100 cổ phiếu được nhận 10 cổ phiếu mới)</t>
  </si>
  <si>
    <t>- Tỷ lệ thực hiện: 20% (cổ đông sở hữu 10 cổ phiếu được nhận 02 cổ phiếu phát hành thêm).</t>
  </si>
  <si>
    <t>Lý do và mục đích: Chi trả cổ tức năm 2019 bằng tiền
- Tỷ lệ thực hiện: 2,75%/cổ phiếu (275đ/cổ phiếu)</t>
  </si>
  <si>
    <t>- Tỷ lệ thực hiện: 25% (Người sở hữu 100 cổ phiếu được nhận thêm 25 cổ phiếu mới)</t>
  </si>
  <si>
    <t>Lý do và mục đích: Chi trả cổ tức bằng tiền năm 2019
- Tỷ lệ thực hiện: 10,8%/mệnh giá (01 cổ phiếu được nhận 1.080 đồng)</t>
  </si>
  <si>
    <t>- Lý do và mục đích: Chi trả cổ tức năm 2019 bằng tiền
- Tỷ lệ thực hiện: 3%/cổ phiếu (1 cổ phiếu được nhận 300 đồng)</t>
  </si>
  <si>
    <t>Lý do và mục đích: Chi trả cổ tức năm 2019 bằng tiền
- Tỷ lệ thực hiện: 6%/cổ phiếu ( 01 cổ phiếu được nhận 600 đồng)</t>
  </si>
  <si>
    <t>- Lý do và mục đích: Chi trả cổ tức năm 2019 bằng tiền
- Tỷ lệ thực hiện: 8,4%/mệnh giá (01 cổ phiếu được nhận 840 đồng)</t>
  </si>
  <si>
    <t>- Lý do và mục đích: Chi trả cổ tức năm 2019 bằng tiền
- Tỷ lệ thực hiện: 5%/cổ phiếu (01 cổ phiếu nhận được 500 đồng)</t>
  </si>
  <si>
    <t>Tỷ lệ thực hiện: 30% (01 cổ phiếu được nhận 3.000 đồng)</t>
  </si>
  <si>
    <t>- Tỷ lệ thực hiện:                    2,51%/cổ phiếu (01 cổ phiếu được nhận 251 đồng)</t>
  </si>
  <si>
    <t>Lý do và mục đích: Chi trả cổ tức lần 3 năm 2019 bằng tiền
- Tỷ lệ thực hiện: 30%/cổ phiếu (3.000đ/cổ phiếu)</t>
  </si>
  <si>
    <t>Lý do và mục đích: Chi trả cổ tức năm 2019 bằng tiền
- Tỷ lệ thực hiện: 15%/cổ phiếu (1.500đ/cổ phiếu)</t>
  </si>
  <si>
    <t>- Lý do và mục đích: Chi trả cổ tức năm 2019 bằng tiền
- Tỷ lệ thực hiện: 7%/cổ phiếu (1 cổ phiếu được nhận 700 đồng)</t>
  </si>
  <si>
    <t>- Lý do và mục đích: Chi trả cổ tức năm 2019 bằng tiền
- Tỷ lệ thực hiện: 15%/cổ phiếu (1 cổ phiếu được nhận 1.500 đồng)</t>
  </si>
  <si>
    <t>- Lý do và mục đích: Chi trả cổ tức năm 2019 bằng tiền.
- Tỷ lệ thực hiện: 20%/cổ phiếu (01 cổ phiếu được nhận 2.000 đồng)</t>
  </si>
  <si>
    <t>- Lý do và mục đích: Chi trả cổ tức năm tài chính 2019 bằng tiền
- Tỷ lệ thực hiện: 8%/cổ phiếu (01 cổ phiếu được nhận 800 đồng)</t>
  </si>
  <si>
    <t>- Lý do và mục đích: Chi trả cổ tức năm 2019 bằng tiền
- Tỷ lệ thực hiện: 4,30%/cổ phiếu (01 cổ phiếu được nhận 430 đồng)</t>
  </si>
  <si>
    <t>Căn cứ Thông báo số: 1430/TB-CNVSD ngày 18/09/2020 của Trung tâm Lưu ký chứng  khoán Việt Nam– Chi nhánh TP.Hồ Chí Minh (CNVSD) về ngày đăng ký cuối cùng để Chi trả cổ tức năm 2019 bằng tiền mặt của Cổ phiếu Công ty Cổ phần Xuất nhập khẩu Thủy sản Cần Thơ với ngày thanh toán là ngày: 12/10/2020</t>
  </si>
  <si>
    <t>Lý do và mục đích: Chi trả cổ tức niên độ 2018-2019 bằng tiền
- Tỷ lệ thực hiện: 5%/cổ phiếu (500đ/cổ phiếu)</t>
  </si>
  <si>
    <t>- Tỷ lệ thực hiện: 20% (Người sở hữu 10 cổ phiếu được nhận thêm 02 cổ phiếu mới)</t>
  </si>
  <si>
    <t>- Tỷ lệ thực hiện: 1,7%/cổ phiếu (01 cổ phiếu được nhận 170 đồng)</t>
  </si>
  <si>
    <t xml:space="preserve">  - Tỷ lệ thực hiện: 100:5 (Người sở hữu 100 cổ phiếu được nhận thêm 05 cổ phiếu mới)</t>
  </si>
  <si>
    <t>- Tỷ lệ thực hiện: 250%/cổ phiếu (01 cổ phiếu được nhận 25.000 đồng)</t>
  </si>
  <si>
    <t>- Lý do và mục đích: Chi trả cổ tức năm 2019 bằng tiền
- Tỷ lệ thực hiện: 10%/cổ phiếu (1 cổ phiếu được nhận 1.000 đồng).</t>
  </si>
  <si>
    <t>- Chi trả cổ tức bằng tiền năm 2019
2.1 Chi trả cổ tức bằng tiền:
- Tỷ lệ thực hiện: 10,24745%/cổ phiếu (01 cổ phiếu được nhận 1.024,745 đồng)
- Tỷ lệ thực hiện: 1:0,3175255 (Người sở hữu 01 cổ phiếu được nhận 0,3175255 cổ phiếu mới)</t>
  </si>
  <si>
    <t>- Tỷ lệ thực hiện: 8% cổ phiếu (Người sở hữu 100 cổ phiếu được nhận 8 cổ phiếu mới)
- Tỷ lệ thực hiện: 1%/cổ phiếu (Người sở hữu 100 cổ phiếu được nhận 1 cổ phiếu mới)</t>
  </si>
  <si>
    <t>Lý do và mục đích: Chi trả cổ tức đợt 1 năm 2019 bằng tiền mặt
- Tỷ lệ thực hiện: 10%/cổ phiếu ( 01 cổ phiếu được nhận 1.000 đồng)</t>
  </si>
  <si>
    <t>- Lý do và mục đích: Chi trả cổ tức năm 2019 bằng tiền
- Tỷ lệ thực hiện: 3%/cổ phiếu (1 cổ phiếu được nhận 300 đồng).</t>
  </si>
  <si>
    <t>- Lý do và mục đích: Chi trả cổ tức năm 2019 bằng tiền
- Tỷ lệ thực hiện: 10%/mệnh giá (01 cổ phiếu được nhận 1.000 đồng)</t>
  </si>
  <si>
    <t>2. Chi trả cổ tức năm 2019 bằng tiền.
- Tỷ lệ thực hiện: 1:1 (1 cổ phiếu – 1 quyền biểu quyết)
2. Chi trả cổ tức năm 2019 bằng tiền                     
- Tỷ lệ thực hiện: 8%/cổ phiếu (01 cổ phiếu được nhận 800 đồng)</t>
  </si>
  <si>
    <t>- Tỷ lệ thực hiện: 5% (01 cổ phiếu được nhận 500 đồng)</t>
  </si>
  <si>
    <t>Lý do và mục đích: Chi trả cổ tức bằng tiền năm 2019
- Tỷ lệ thực hiện: 08%/cổ phiếu (01cổ phiếu được nhận 800 đồng)</t>
  </si>
  <si>
    <t>Lý do và mục đích: Chi trả cổ tức năm 2019 bằng tiền và lấy ý kiến cổ đông bằng văn bản
a, Chi trả cổ tức năm 2019 bằng tiền
- Tỷ lệ thực hiện: 5%/cổ phiếu (01 cổ phiếu được nhận 500 đồng)
- Tỷ lệ thực hiện: 1:1 (1 cổ phiếu – 1 quyền biểu quyết)</t>
  </si>
  <si>
    <t>-  Lý do và mục đích: Chi trả cổ tức năm 2019 bằng tiền
-  Tỷ lệ thực hiện: 8%/cổ phiếu (01 cổ phiếu được nhận 800 đồng)</t>
  </si>
  <si>
    <t>Lý do và mục đích: Chi trả cổ tức năm 2019 bằng cổ phiếu
- Tỷ lệ thực hiện: 5% ( Cổ đông sở hữu 100 cổ phiếu tại ngày chốt danh sách được nhận 5 cổ phiếu phát hành thêm).</t>
  </si>
  <si>
    <t>- Tỷ lệ thực hiện: 19%/cổ phiếu (01 cổ phiếu được nhận 1.900 đồng)</t>
  </si>
  <si>
    <t>- Lý do và mục đích : Chi trả cổ tức năm 2019 bằng tiền
- Tỷ lệ thực hiện: 10%/cổ phiếu (01 cổ phiếu được nhận 1.000 đồng)</t>
  </si>
  <si>
    <t>Lý do và mục đích: Chi trả cổ tức bằng tiền năm 2019
- Tỷ lệ thực hiện: 15%/cổ phiếu (01cổ phiếu được nhận 1.500 đồng)</t>
  </si>
  <si>
    <t>Lý do và mục đích: Chi trả cổ tức năm 2019 bằng tiền
- Tỷ lệ thực hiện: 17,98%/cổ phiếu (01 cổ phiếu được nhận 1.798 đồng)</t>
  </si>
  <si>
    <t>Lý do và mục đích: Chi trả cổ tức năm 2019 bằng tiền
- Tỷ lệ thực hiện: 25%/cổ phiếu (01 cổ phiếu được nhận 2.500 đồng)</t>
  </si>
  <si>
    <t>- Lý do và mục đích:  Chi trả cổ tức năm 2019 bằng tiền
- Tỷ lệ thực hiện: 1,96%/cổ phiếu (01 cổ phiếu nhận được 196 đồng)</t>
  </si>
  <si>
    <t>Lý do và mục đích: Lấy ý kiến cổ đông bằng văn bản và Chi trả cổ tức bằng tiền còn lại năm 2019 (đợt 2).
a. Tỷ lệ thực hiện: 1:1 (01 cổ phiếu – 01 quyền biểu quyết)
2. Chi trả cổ tức bằng tiền còn lại năm 2019 (đợt 2):
a. Tỷ lệ thực hiện: 10%/cổ phiếu (01 cổ phiếu được nhận 1.000 đồng)</t>
  </si>
  <si>
    <t>- Tỷ lệ thực hiện: 28,4%/ cổ phiếu (01 cổ phiếu được nhận 2.840 đồng)</t>
  </si>
  <si>
    <t>Lý do và mục đích: Chi trả cổ tức  năm 2019 bằng cổ phiếu
-  Tỷ lệ thực hiện: 100 : 05 (Tại ngày chốt danh sách, cổ đông sở hữu  01 cổ phiếu sẽ được hưởng 01 quyền và cứ 100 quyền nhận sẽ được nhận 05 cổ phiếu mới phát hành thêm)</t>
  </si>
  <si>
    <t>- Lý do và mục đích: Chi trả cổ tức bằng tiền đợt 4 bổ sung năm 2019 và tạm ứng cổ tức bằng tiền đợt 1 năm 2020
- Tỷ lệ thực hiện: 8% (01 cổ phiếu được nhận 800 đồng), trong đó:
+ Chi trả cổ tức bằng tiền đợt 4 bổ sung năm 2019: 4%/cổ phiếu (01 cổ phiếu được nhận 400 đồng);</t>
  </si>
  <si>
    <t>- Tỷ lệ thực hiện: 15%/cổ phiếu (cổ đông sở hữu 100 cổ phiếu được nhận 15 cổ phiếu mới)</t>
  </si>
  <si>
    <t>Lý do và mục đích: Chi trả cổ tức còn lại năm 2019 bằng tiền
- Tỷ lệ thực hiện: 5%/cổ phiếu (01 cổ phiếu được nhận 500 đồng)</t>
  </si>
  <si>
    <t>Lý do và mục đích: Chi trả cổ tức còn lại của năm 2019 (tỷ lệ: 5%) và tạm ứng cổ tức đợt 1/2020 (tỷ lệ: 5%): 10% bằng tiền
- Tỷ lệ thực hiện: 10%/cổ phiếu (01 cổ phiếu được nhận 1.000 đồng)</t>
  </si>
  <si>
    <t>- Tỷ lệ thực hiện: 28%/cổ phiếu (01 cổ phiếu được nhận 2.800 đồng)
- Tỷ lệ thực hiện: 1:1 (1 cổ phiếu – 1 quyền biểu quyết)</t>
  </si>
  <si>
    <t>30/09/2021</t>
  </si>
  <si>
    <t>01/10/2021</t>
  </si>
  <si>
    <t>05/10/2021</t>
  </si>
  <si>
    <t>06/10/2021</t>
  </si>
  <si>
    <t>11/10/2021</t>
  </si>
  <si>
    <t>04/10/2021</t>
  </si>
  <si>
    <t>08/10/2021</t>
  </si>
  <si>
    <t>28/09/2021</t>
  </si>
  <si>
    <t>29/09/2021</t>
  </si>
  <si>
    <t>07/10/2021</t>
  </si>
  <si>
    <t>23/09/2021</t>
  </si>
  <si>
    <t>27/09/2021</t>
  </si>
  <si>
    <t>24/09/2021</t>
  </si>
  <si>
    <t>22/09/2021</t>
  </si>
  <si>
    <t>20/09/2021</t>
  </si>
  <si>
    <t>21/09/2021</t>
  </si>
  <si>
    <t>16/09/2021</t>
  </si>
  <si>
    <t>15/09/2021</t>
  </si>
  <si>
    <t>17/09/2021</t>
  </si>
  <si>
    <t>23/08/2021</t>
  </si>
  <si>
    <t>13/09/2021</t>
  </si>
  <si>
    <t>10/09/2021</t>
  </si>
  <si>
    <t>09/09/2021</t>
  </si>
  <si>
    <t>08/09/2021</t>
  </si>
  <si>
    <t>07/09/2021</t>
  </si>
  <si>
    <t>06/09/2021</t>
  </si>
  <si>
    <t>01/09/2021</t>
  </si>
  <si>
    <t>31/08/2021</t>
  </si>
  <si>
    <t>14/09/2021</t>
  </si>
  <si>
    <t>30/08/2021</t>
  </si>
  <si>
    <t>27/08/2021</t>
  </si>
  <si>
    <t>26/08/2021</t>
  </si>
  <si>
    <t>25/08/2021</t>
  </si>
  <si>
    <t>24/08/2021</t>
  </si>
  <si>
    <t>20/08/2021</t>
  </si>
  <si>
    <t>19/08/2021</t>
  </si>
  <si>
    <t>14/10/2021</t>
  </si>
  <si>
    <t>18/08/2021</t>
  </si>
  <si>
    <t>13/08/2021</t>
  </si>
  <si>
    <t>16/08/2021</t>
  </si>
  <si>
    <t>12/08/2021</t>
  </si>
  <si>
    <t>17/08/2021</t>
  </si>
  <si>
    <t>11/08/2021</t>
  </si>
  <si>
    <t>09/08/2021</t>
  </si>
  <si>
    <t>10/08/2021</t>
  </si>
  <si>
    <t>06/08/2021</t>
  </si>
  <si>
    <t>05/08/2021</t>
  </si>
  <si>
    <t>03/08/2021</t>
  </si>
  <si>
    <t>30/07/2021</t>
  </si>
  <si>
    <t>29/07/2021</t>
  </si>
  <si>
    <t>02/08/2021</t>
  </si>
  <si>
    <t>04/08/2021</t>
  </si>
  <si>
    <t>28/07/2021</t>
  </si>
  <si>
    <t>26/07/2021</t>
  </si>
  <si>
    <t>27/07/2021</t>
  </si>
  <si>
    <t>23/07/2021</t>
  </si>
  <si>
    <t>22/07/2021</t>
  </si>
  <si>
    <t>21/07/2021</t>
  </si>
  <si>
    <t>19/07/2021</t>
  </si>
  <si>
    <t>20/07/2021</t>
  </si>
  <si>
    <t>16/07/2021</t>
  </si>
  <si>
    <t>15/07/2021</t>
  </si>
  <si>
    <t>14/07/2021</t>
  </si>
  <si>
    <t>13/07/2021</t>
  </si>
  <si>
    <t>12/07/2021</t>
  </si>
  <si>
    <t>09/07/2021</t>
  </si>
  <si>
    <t>08/07/2021</t>
  </si>
  <si>
    <t>06/07/2021</t>
  </si>
  <si>
    <t>05/07/2021</t>
  </si>
  <si>
    <t>07/07/2021</t>
  </si>
  <si>
    <t>02/07/2021</t>
  </si>
  <si>
    <t>01/07/2021</t>
  </si>
  <si>
    <t>29/06/2021</t>
  </si>
  <si>
    <t>25/06/2021</t>
  </si>
  <si>
    <t>30/06/2021</t>
  </si>
  <si>
    <t>28/06/2021</t>
  </si>
  <si>
    <t>24/06/2021</t>
  </si>
  <si>
    <t>23/06/2021</t>
  </si>
  <si>
    <t>22/06/2021</t>
  </si>
  <si>
    <t>21/06/2021</t>
  </si>
  <si>
    <t>18/06/2021</t>
  </si>
  <si>
    <t>17/06/2021</t>
  </si>
  <si>
    <t>15/06/2021</t>
  </si>
  <si>
    <t>16/06/2021</t>
  </si>
  <si>
    <t>14/06/2021</t>
  </si>
  <si>
    <t>11/06/2021</t>
  </si>
  <si>
    <t>10/06/2021</t>
  </si>
  <si>
    <t>07/06/2021</t>
  </si>
  <si>
    <t>04/06/2021</t>
  </si>
  <si>
    <t>08/06/2021</t>
  </si>
  <si>
    <t>09/06/2021</t>
  </si>
  <si>
    <t>03/06/2021</t>
  </si>
  <si>
    <t>02/06/2021</t>
  </si>
  <si>
    <t>01/06/2021</t>
  </si>
  <si>
    <t>31/05/2021</t>
  </si>
  <si>
    <t>28/05/2021</t>
  </si>
  <si>
    <t>27/05/2021</t>
  </si>
  <si>
    <t>26/05/2021</t>
  </si>
  <si>
    <t>25/05/2021</t>
  </si>
  <si>
    <t>24/05/2021</t>
  </si>
  <si>
    <t>21/05/2021</t>
  </si>
  <si>
    <t>20/05/2021</t>
  </si>
  <si>
    <t>19/05/2021</t>
  </si>
  <si>
    <t>18/05/2021</t>
  </si>
  <si>
    <t>17/05/2021</t>
  </si>
  <si>
    <t>14/05/2021</t>
  </si>
  <si>
    <t>13/05/2021</t>
  </si>
  <si>
    <t>12/05/2021</t>
  </si>
  <si>
    <t>11/05/2021</t>
  </si>
  <si>
    <t>10/05/2021</t>
  </si>
  <si>
    <t>07/05/2021</t>
  </si>
  <si>
    <t>06/05/2021</t>
  </si>
  <si>
    <t>04/05/2021</t>
  </si>
  <si>
    <t>05/05/2021</t>
  </si>
  <si>
    <t>29/04/2021</t>
  </si>
  <si>
    <t>28/04/2021</t>
  </si>
  <si>
    <t>27/04/2021</t>
  </si>
  <si>
    <t>23/04/2021</t>
  </si>
  <si>
    <t>22/04/2021</t>
  </si>
  <si>
    <t>20/04/2021</t>
  </si>
  <si>
    <t>26/04/2021</t>
  </si>
  <si>
    <t>16/04/2021</t>
  </si>
  <si>
    <t>14/04/2021</t>
  </si>
  <si>
    <t>15/04/2021</t>
  </si>
  <si>
    <t>19/04/2021</t>
  </si>
  <si>
    <t>13/04/2021</t>
  </si>
  <si>
    <t>08/04/2021</t>
  </si>
  <si>
    <t>12/04/2021</t>
  </si>
  <si>
    <t>05/04/2021</t>
  </si>
  <si>
    <t>07/04/2021</t>
  </si>
  <si>
    <t>31/03/2021</t>
  </si>
  <si>
    <t>01/04/2021</t>
  </si>
  <si>
    <t>06/04/2021</t>
  </si>
  <si>
    <t>29/03/2021</t>
  </si>
  <si>
    <t>24/03/2021</t>
  </si>
  <si>
    <t>26/03/2021</t>
  </si>
  <si>
    <t>30/03/2021</t>
  </si>
  <si>
    <t>25/03/2021</t>
  </si>
  <si>
    <t>22/03/2021</t>
  </si>
  <si>
    <t>19/03/2021</t>
  </si>
  <si>
    <t>18/03/2021</t>
  </si>
  <si>
    <t>23/03/2021</t>
  </si>
  <si>
    <t>17/03/2021</t>
  </si>
  <si>
    <t>16/03/2021</t>
  </si>
  <si>
    <t>11/03/2021</t>
  </si>
  <si>
    <t>15/03/2021</t>
  </si>
  <si>
    <t>12/03/2021</t>
  </si>
  <si>
    <t>04/03/2021</t>
  </si>
  <si>
    <t>10/03/2021</t>
  </si>
  <si>
    <t>03/03/2021</t>
  </si>
  <si>
    <t>26/02/2021</t>
  </si>
  <si>
    <t>01/03/2021</t>
  </si>
  <si>
    <t>05/03/2021</t>
  </si>
  <si>
    <t>25/02/2021</t>
  </si>
  <si>
    <t>09/03/2021</t>
  </si>
  <si>
    <t>23/02/2021</t>
  </si>
  <si>
    <t>22/02/2021</t>
  </si>
  <si>
    <t>24/02/2021</t>
  </si>
  <si>
    <t>18/02/2021</t>
  </si>
  <si>
    <t>19/02/2021</t>
  </si>
  <si>
    <t>08/02/2021</t>
  </si>
  <si>
    <t>04/02/2021</t>
  </si>
  <si>
    <t>05/02/2021</t>
  </si>
  <si>
    <t>02/02/2021</t>
  </si>
  <si>
    <t>09/02/2021</t>
  </si>
  <si>
    <t>01/02/2021</t>
  </si>
  <si>
    <t>28/01/2021</t>
  </si>
  <si>
    <t>29/01/2021</t>
  </si>
  <si>
    <t>27/01/2021</t>
  </si>
  <si>
    <t>26/01/2021</t>
  </si>
  <si>
    <t>25/01/2021</t>
  </si>
  <si>
    <t>22/01/2021</t>
  </si>
  <si>
    <t>21/01/2021</t>
  </si>
  <si>
    <t>20/01/2021</t>
  </si>
  <si>
    <t>19/01/2021</t>
  </si>
  <si>
    <t>18/01/2021</t>
  </si>
  <si>
    <t>15/01/2021</t>
  </si>
  <si>
    <t>12/01/2021</t>
  </si>
  <si>
    <t>14/01/2021</t>
  </si>
  <si>
    <t>13/01/2021</t>
  </si>
  <si>
    <t>11/01/2021</t>
  </si>
  <si>
    <t>08/01/2021</t>
  </si>
  <si>
    <t>06/01/2021</t>
  </si>
  <si>
    <t>07/01/2021</t>
  </si>
  <si>
    <t>05/01/2021</t>
  </si>
  <si>
    <t>31/12/2020</t>
  </si>
  <si>
    <t>04/01/2021</t>
  </si>
  <si>
    <t>30/12/2020</t>
  </si>
  <si>
    <t>29/12/2020</t>
  </si>
  <si>
    <t>28/12/2020</t>
  </si>
  <si>
    <t>25/12/2020</t>
  </si>
  <si>
    <t>07/01/2020</t>
  </si>
  <si>
    <t>24/12/2020</t>
  </si>
  <si>
    <t>23/12/2020</t>
  </si>
  <si>
    <t>22/12/2020</t>
  </si>
  <si>
    <t>21/12/2020</t>
  </si>
  <si>
    <t>18/12/2020</t>
  </si>
  <si>
    <t>17/12/2020</t>
  </si>
  <si>
    <t>16/12/2020</t>
  </si>
  <si>
    <t>15/12/2020</t>
  </si>
  <si>
    <t>14/12/2020</t>
  </si>
  <si>
    <t>11/12/2020</t>
  </si>
  <si>
    <t>10/12/2020</t>
  </si>
  <si>
    <t>09/12/2020</t>
  </si>
  <si>
    <t>07/12/2020</t>
  </si>
  <si>
    <t>08/12/2020</t>
  </si>
  <si>
    <t>04/12/2020</t>
  </si>
  <si>
    <t>02/12/2020</t>
  </si>
  <si>
    <t>01/12/2020</t>
  </si>
  <si>
    <t>04/11/2020</t>
  </si>
  <si>
    <t>30/11/2020</t>
  </si>
  <si>
    <t>03/12/2020</t>
  </si>
  <si>
    <t>27/11/2020</t>
  </si>
  <si>
    <t>25/11/2020</t>
  </si>
  <si>
    <t>26/11/2020</t>
  </si>
  <si>
    <t>23/11/2020</t>
  </si>
  <si>
    <t>24/11/2020</t>
  </si>
  <si>
    <t>20/11/2020</t>
  </si>
  <si>
    <t>19/11/2020</t>
  </si>
  <si>
    <t>18/11/2020</t>
  </si>
  <si>
    <t>16/11/2020</t>
  </si>
  <si>
    <t>17/11/2020</t>
  </si>
  <si>
    <t>11/11/2020</t>
  </si>
  <si>
    <t>12/11/2020</t>
  </si>
  <si>
    <t>09/11/2020</t>
  </si>
  <si>
    <t>06/11/2020</t>
  </si>
  <si>
    <t>10/11/2020</t>
  </si>
  <si>
    <t>05/11/2020</t>
  </si>
  <si>
    <t>13/11/2020</t>
  </si>
  <si>
    <t>03/11/2020</t>
  </si>
  <si>
    <t>30/10/2020</t>
  </si>
  <si>
    <t>02/11/2020</t>
  </si>
  <si>
    <t>29/10/2020</t>
  </si>
  <si>
    <t>28/10/2020</t>
  </si>
  <si>
    <t>27/10/2020</t>
  </si>
  <si>
    <t>23/10/2020</t>
  </si>
  <si>
    <t>22/10/2020</t>
  </si>
  <si>
    <t>26/10/2020</t>
  </si>
  <si>
    <t>03/01/2020</t>
  </si>
  <si>
    <t>21/10/2020</t>
  </si>
  <si>
    <t>16/10/2020</t>
  </si>
  <si>
    <t>20/10/2020</t>
  </si>
  <si>
    <t>19/10/2020</t>
  </si>
  <si>
    <t>15/10/2020</t>
  </si>
  <si>
    <t>13/10/2020</t>
  </si>
  <si>
    <t>12/10/2020</t>
  </si>
  <si>
    <t>09/10/2020</t>
  </si>
  <si>
    <t>08/10/2020</t>
  </si>
  <si>
    <t>06/10/2020</t>
  </si>
  <si>
    <t>05/10/2020</t>
  </si>
  <si>
    <t>02/10/2020</t>
  </si>
  <si>
    <t>- Ngày thanh toán: 18/10/2021</t>
  </si>
  <si>
    <t>+ Thời gian thực hiện: Dự kiến trong quý IV/2021
+ Thời gian thanh toán: 21/10/2021</t>
  </si>
  <si>
    <t>- Thời gian thực hiện: 14/10/2021</t>
  </si>
  <si>
    <t>+ Thời gian thực hiện: Dự kiến là 03/11/2021
+ Thời gian thanh toán: 29/10/2021</t>
  </si>
  <si>
    <t>- Ngày thanh toán: 20/10/2021</t>
  </si>
  <si>
    <t>- Ngày thanh toán: 21/12/2021</t>
  </si>
  <si>
    <t>- Thời gian thực hiện: 28/10/2021</t>
  </si>
  <si>
    <t>-Ngày thanh toán cổ tức đã thông báo: 24/09/2021
-Ngày thanh toán cổ tức điều chỉnh: 24/11/2021</t>
  </si>
  <si>
    <t>- Ngày thanh toán: 19/10/2021</t>
  </si>
  <si>
    <t>- Ngày thanh toán: 21/10/2021</t>
  </si>
  <si>
    <t>-     Ngày thanh toán cổ tức đã thông báo: 30/09/2021
-     Ngày thanh toán cổ tức điều chỉnh: 31/12/2021</t>
  </si>
  <si>
    <t>- Thời gian thực hiện: 25/10/2021</t>
  </si>
  <si>
    <t>-Thời gian thanh toán: Ngày 31/12/2021
-Thời gian thanh toán: Ngày 22/09/2021</t>
  </si>
  <si>
    <t>- Ngày thanh toán: 04/11/2021</t>
  </si>
  <si>
    <t>- Thời gian thực hiện: 11/10/2021</t>
  </si>
  <si>
    <t>- Ngày thanh toán: 26/10/2021</t>
  </si>
  <si>
    <t>- Ngày thanh toán: 29/10/2021</t>
  </si>
  <si>
    <t>- Thời gian thực hiện: 15/10/2021</t>
  </si>
  <si>
    <t>- Ngày thanh toán: 25/10/2021
- Thời gian thực hiện: TCPH sẽ thông báo sau</t>
  </si>
  <si>
    <t>- Ngày thanh toán: 15/10/2021</t>
  </si>
  <si>
    <t>- Ngày thanh toán: 23/11/2021</t>
  </si>
  <si>
    <t>+ Thời gian thanh toán: 30/09/2021
+ Thời gian thanh toán: 17/09/2021</t>
  </si>
  <si>
    <t>- Thời gian thực hiện: 30/09/2021</t>
  </si>
  <si>
    <t>- Thời gian thực hiện: 20/10/2021</t>
  </si>
  <si>
    <t>- Ngày thanh toán: 22/10/2021</t>
  </si>
  <si>
    <t>- Ngày thanh toán: 14/10/2021</t>
  </si>
  <si>
    <t>- Ngày thanh toán: 08/10/2021</t>
  </si>
  <si>
    <t>-     Ngày thanh toán: 31/03/2022</t>
  </si>
  <si>
    <t>- Ngày thanh toán: 25/10/2021</t>
  </si>
  <si>
    <t>- Thời gian thực hiện: 22/10/2021</t>
  </si>
  <si>
    <t>- Ngày thanh toán:22/10/2021</t>
  </si>
  <si>
    <t>- Thời gian thực hiện: 27/10/2021</t>
  </si>
  <si>
    <t>- Ngày thanh toán  :  12/10/2021</t>
  </si>
  <si>
    <t>- Ngày thanh toán: 12/10/2021</t>
  </si>
  <si>
    <t>-     Ngày thanh toán: 08/10/2021</t>
  </si>
  <si>
    <t>-  Thời gian thực hiện:28/09/2021</t>
  </si>
  <si>
    <t>- Thời gian thực hiện: 05/10/2021</t>
  </si>
  <si>
    <t>- Ngày thanh toán:30/09/2021</t>
  </si>
  <si>
    <t>- Thời gian thực hiện:29/09/2021</t>
  </si>
  <si>
    <t>- Ngày thanh toán: 05/10/2021</t>
  </si>
  <si>
    <t>- Ngày thanh toán: Ngày 29/10/2021.</t>
  </si>
  <si>
    <t>- Ngày thanh toán:15/10/2021</t>
  </si>
  <si>
    <t>- Ngày thanh toán:01/10/2021</t>
  </si>
  <si>
    <t>- Ngày thanh toán: 29/09/2021</t>
  </si>
  <si>
    <t>- Ngày thanh toán: 11/10/2021</t>
  </si>
  <si>
    <t>- Ngày thanh toán: 01/11/2021
- Thời gian thực hiện lấy ý kiến: dự kiến hoàn thành trong 11/2021</t>
  </si>
  <si>
    <t>- Thời gian thực hiện:  24/09/2021</t>
  </si>
  <si>
    <t>- Ngày thanh toán: Ngày 22 tháng 10 năm 2021
- Thời gian thực hiện: 21/10/2021</t>
  </si>
  <si>
    <t>- Thời gian thực hiện: 28/09/2021</t>
  </si>
  <si>
    <t>Ngày thanh toán: 30/09/2021</t>
  </si>
  <si>
    <t>- Thời gian thực hiện:  30/09/2021</t>
  </si>
  <si>
    <t>- Thời gian thực hiện: Dự kiến ngày 15/10/2021
- Ngày thanh toán: 06/10/2021</t>
  </si>
  <si>
    <t>- Thời gian thực hiện:24/09/2021</t>
  </si>
  <si>
    <t>- Ngày thanh toán: Ngày 30/09/2021</t>
  </si>
  <si>
    <t>-  Ngày thanh toán: 13/10/2021</t>
  </si>
  <si>
    <t>-  Thời gian thực hiện:25/10/2021</t>
  </si>
  <si>
    <t>- Ngày thanh toán: 20/09/2021</t>
  </si>
  <si>
    <t>-  Thời gian thực hiện: 24/09/2021</t>
  </si>
  <si>
    <t xml:space="preserve">- Thời gian thực hiện:29/09/2021 </t>
  </si>
  <si>
    <t>- Ngày thanh toán: 24/09/2021</t>
  </si>
  <si>
    <t>- Thời gian thanh toán: 20/10/2021</t>
  </si>
  <si>
    <t>- Ngày thanh toán: 04/10/2021</t>
  </si>
  <si>
    <t>- Thời gian thực hiện: 01/10/2021</t>
  </si>
  <si>
    <t>- Thời gian thực hiện: 15/09/2021</t>
  </si>
  <si>
    <t>- Thời gian thực hiện: 14/09/2021</t>
  </si>
  <si>
    <t>- Ngày thanh toán: 13/09/2021</t>
  </si>
  <si>
    <t>- Thời gian thực hiện: 16/09/2021</t>
  </si>
  <si>
    <t>- Thời gian thực hiện: 24/09/2021</t>
  </si>
  <si>
    <t>- Ngày thanh toán: 08/09/2021</t>
  </si>
  <si>
    <t>- Thời gian thực hiện: 10/09/2021</t>
  </si>
  <si>
    <t>-     Ngày thanh toán: 30/09/2021</t>
  </si>
  <si>
    <t>- Ngày thanh toán: 17/09/2021</t>
  </si>
  <si>
    <t>- Ngày thanh toán  :  22/09/2021</t>
  </si>
  <si>
    <t>- Ngày thanh toán:29/09/2021</t>
  </si>
  <si>
    <t>- Ngày thanh toán:15/09/2021</t>
  </si>
  <si>
    <t>- Thời gian thực hiện: 20/09/2021</t>
  </si>
  <si>
    <t>-  Ngày thanh toán:15/09/2021</t>
  </si>
  <si>
    <t>- Ngày thanh toán: 06/10/2021</t>
  </si>
  <si>
    <t>- Ngày thanh toán  :  16/09/2021</t>
  </si>
  <si>
    <t>Ngày thanh toán: 10/09/2021</t>
  </si>
  <si>
    <t>- Thời gian thanh toán:           Ngày 08/10/2021</t>
  </si>
  <si>
    <t>- Ngày thanh toán: 01/09/2021</t>
  </si>
  <si>
    <t>Thời gian thanh toán:30/09/2021</t>
  </si>
  <si>
    <t>- Thời gian thanh toán: Ngày 15/09/2021</t>
  </si>
  <si>
    <t>- Thời gian thực hiện:30/08/2021</t>
  </si>
  <si>
    <t>- Ngày thanh toán:01/09/2021</t>
  </si>
  <si>
    <t>- Ngày thanh toán: 14/09/2021</t>
  </si>
  <si>
    <t>- Thời gian thực hiện:10/09/2021</t>
  </si>
  <si>
    <t>- Ngày thanh toán:24/09/2021</t>
  </si>
  <si>
    <t>- Thời gian thực hiện: 31/08/2021</t>
  </si>
  <si>
    <t>- Ngày thanh toán: 10/09/2021</t>
  </si>
  <si>
    <t>Ngày thanh toán: Ngày 10/09/2021
Thời gian thực hiện: Bắt đầu từ ngày 10/09/2021</t>
  </si>
  <si>
    <t>- Thời gian thanh toán: 31/08/2021</t>
  </si>
  <si>
    <t>- Ngày thanh toán: 30/08/2021</t>
  </si>
  <si>
    <t>- Ngày thanh toán: 16/09/2021</t>
  </si>
  <si>
    <t>- Ngày thanh toán: 15/09/2021
Thời gian thực hiện: sẽ thông báo sau, chậm nhất là ngày 30/09/2021</t>
  </si>
  <si>
    <t>- Thời gian thanh toán: Ngày 30/08/2021</t>
  </si>
  <si>
    <t xml:space="preserve">- Thời gian thực hiện: 01/09/2021 </t>
  </si>
  <si>
    <t>Ngày thanh toán: 30/08/2021</t>
  </si>
  <si>
    <t>- Ngày thanh toán: 20/08/2021</t>
  </si>
  <si>
    <t>- Ngày thanh toán: 23/08/2021</t>
  </si>
  <si>
    <t>- Thời gian thực hiện: Ngày 20/08/2021</t>
  </si>
  <si>
    <t>- Thời gian thực hiện:09/09/2021</t>
  </si>
  <si>
    <t>Thời gian thanh toán: Ngày 30/07/2021
Thời gian thanh toán: Ngày 31/12/2021</t>
  </si>
  <si>
    <t>- Ngày thanh toán: 09/09/2021</t>
  </si>
  <si>
    <t>- Thời gian thực hiện: 20/08/2021</t>
  </si>
  <si>
    <t>- Ngày thanh toán: 25/08/2021</t>
  </si>
  <si>
    <t>+ Ngày thanh toán: 29/07/2021
+ Ngày thanh toán: 30/09/2021</t>
  </si>
  <si>
    <t>- Ngày thanh toán: 24/08/2021</t>
  </si>
  <si>
    <t>- Thời gian thực hiện: 22/09/2021</t>
  </si>
  <si>
    <t>- Ngày thanh toán: 19/08/2021</t>
  </si>
  <si>
    <t>- Ngày thanh toán: 06/09/2021</t>
  </si>
  <si>
    <t>- Thời gian thực hiện: 25/08/2021</t>
  </si>
  <si>
    <t>- Thời gian thực hiện: 31/8/2021</t>
  </si>
  <si>
    <t>- Thời gian thực hiện: 30/08/2021</t>
  </si>
  <si>
    <t>- Ngày thanh toán: 26/08/2021</t>
  </si>
  <si>
    <t>- Ngày thanh toán cổ tức đã thông báo: 30/07/2021
- Ngày thanh toán cổ tức điều chỉnh: 22/10/2021</t>
  </si>
  <si>
    <t>- Thời gian thực hiện: Ngày 08/9/2021</t>
  </si>
  <si>
    <t>- Ngày thanh toán: 11/08/2021</t>
  </si>
  <si>
    <t>- Thời gian thực hiện: 13/08/2021</t>
  </si>
  <si>
    <t>- Ngày thanh toán  :  25/08/2021</t>
  </si>
  <si>
    <t>- Ngày thanh toán: 05/08/2021</t>
  </si>
  <si>
    <t>- Thời gian thực hiện: 27/08/2021</t>
  </si>
  <si>
    <t>Ngày thanh toán: 06/08/2021</t>
  </si>
  <si>
    <t>- Ngày thanh toán: 08/09/2021.</t>
  </si>
  <si>
    <t>- Thời gian thực hiện: 16/08/2021</t>
  </si>
  <si>
    <t>- Ngày thanh toán: 12/08/2021</t>
  </si>
  <si>
    <t>- Ngày thanh toán: 27/08/2021</t>
  </si>
  <si>
    <t>- Thời gian thực hiện: 11/08/2021</t>
  </si>
  <si>
    <t>- Ngày thanh toán: 10/08/2021</t>
  </si>
  <si>
    <t>- Thời gian thanh toán: 16/08/2021</t>
  </si>
  <si>
    <t>- Thời gian thực hiện: 10/08/2021</t>
  </si>
  <si>
    <t>- Thời gian thanh toán: 06/08/2021
- Thời gian thực hiện: Trong tháng 08/2021</t>
  </si>
  <si>
    <t>+ Thời gian thanh toán: 30/09/2021
+ Thời gian thanh toán: 19/08/2021</t>
  </si>
  <si>
    <t>- Ngày thanh toán: 30/07/2021</t>
  </si>
  <si>
    <t>+ Ngày thanh toán:  18/08/2021
+ Ngày thanh toán:  29/11/2021</t>
  </si>
  <si>
    <t>- Ngày thanh toán: 16/08/2021</t>
  </si>
  <si>
    <t>- Thời gian thực hiện: 23/08/2021</t>
  </si>
  <si>
    <t>- Thời gian thực hiện: 24/08/2021</t>
  </si>
  <si>
    <t>- Ngày thanh toán: 03/08/2021</t>
  </si>
  <si>
    <t>- Ngày thanh toán: 06/08/2021</t>
  </si>
  <si>
    <t>-  Thời gian thực hiện :  15/12/2021</t>
  </si>
  <si>
    <t>- Thời gian thanh toán cổ tức năm 2020 bằng tiền: Ngày 10/08/2021
- Thời gian thanh toán cổ tức năm 2020 bằng tiền: dự kiến trước ngày 30/09/2021.</t>
  </si>
  <si>
    <t>- Thời gian thực hiện: 28/07/2021</t>
  </si>
  <si>
    <t>- Ngày thanh toán: 11/08/2021.</t>
  </si>
  <si>
    <t>- Thời gian thực hiện: 04/08/2021</t>
  </si>
  <si>
    <t>- Ngày thanh toán: 13/08/2021</t>
  </si>
  <si>
    <t>-Thời gian thanh toán: Ngày 20/07/2021
-Thời gian thanh toán: Ngày 20/08/2021</t>
  </si>
  <si>
    <t>- Ngày thanh toán: 26/07/2021</t>
  </si>
  <si>
    <t>- Thời gian thực hiện: 29/07/2021</t>
  </si>
  <si>
    <t>- Ngày thanh toán: 31/08/2021</t>
  </si>
  <si>
    <t>- Thời gian thực hiện: 12/08/2021</t>
  </si>
  <si>
    <t>- Thời gian thực hiện: 05/08/2021</t>
  </si>
  <si>
    <t>Ngày thanh toán: 30/07/2021</t>
  </si>
  <si>
    <t>Ngày thanh toán: 13/08/2021</t>
  </si>
  <si>
    <t>- Ngày thanh toán: 30/09/2021</t>
  </si>
  <si>
    <t xml:space="preserve">- Thời gian thực hiện:  30/07/2021 </t>
  </si>
  <si>
    <t>- Ngày thanh toán: 27/07/2021</t>
  </si>
  <si>
    <t>- Ngày thanh toán: 02/08/2021</t>
  </si>
  <si>
    <t>Ngày thanh toán: 02/08/2021</t>
  </si>
  <si>
    <t>- Thời gian thực hiện: 27/07/2021</t>
  </si>
  <si>
    <t>- Thời gian thanh toán: 26/07/2021</t>
  </si>
  <si>
    <t>- Thời gian thực hiện: 26/07/2021</t>
  </si>
  <si>
    <t>- Ngày thanh toán: 28/07/2021</t>
  </si>
  <si>
    <t>Ngày thanh toán: 28/07/2021</t>
  </si>
  <si>
    <t>Ngày thanh toán: 26/08/2021</t>
  </si>
  <si>
    <t>- Thời gian thực hiện:28/07/2021</t>
  </si>
  <si>
    <t>- Thời gian thực hiện: 03/08/2021</t>
  </si>
  <si>
    <t>-Thời gian thanh toán: Ngày 30/06/2021
-Thời gian thanh toán: Ngày 31/12/2021</t>
  </si>
  <si>
    <t>- Ngày thanh toán: 06/09/2021
- Thời gian thực hiện: dự kiến tháng 8 năm 2021.</t>
  </si>
  <si>
    <t>- Thời gian thanh toán đã thông báo tại thông báo số 11325/VSD-ĐK.NV ngày 18/12/2020: Ngày 30/06/2021
- Thời gian thanh toán điều chỉnh: Ngày 31/12/2021</t>
  </si>
  <si>
    <t>Thời gian thanh toán: Ngày 30/06/2021
Thời gian thanh toán: Ngày 30/06/2023</t>
  </si>
  <si>
    <t>- Thời gian thanh toán đã thông báo tại công văn số 8728/VSD-ĐK.NV ngày 28/09/2020: Ngày 30/06/2021
- Thời gian thanh toán điều chỉnh: Ngày 30/06/2022</t>
  </si>
  <si>
    <t>- Ngày thanh toán: 04/08/2021</t>
  </si>
  <si>
    <t>- Thời gian thực hiện: 30/07/2021</t>
  </si>
  <si>
    <t>- Thời gian thực hiện: 19/07/2021</t>
  </si>
  <si>
    <t>- Ngày thanh toán: 16/07/2021</t>
  </si>
  <si>
    <t>Thời gian thanh toán: Ngày 29/06/2021
Thời gian thanh toán: Ngày 29/06/2023</t>
  </si>
  <si>
    <t>- Ngày thanh toán: 23/07/2021</t>
  </si>
  <si>
    <t>- Ngày thanh toán: 22/07/2021</t>
  </si>
  <si>
    <t>- Thời gian thực hiện: 16/07/2021</t>
  </si>
  <si>
    <t>- Ngày thanh toán: 19/07/2021</t>
  </si>
  <si>
    <t>- Thời gian thực hiện: 21/07/2021</t>
  </si>
  <si>
    <t>- Ngày thanh toán: 15/07/2021</t>
  </si>
  <si>
    <t>- Ngày thanh toán: 21/07/2021</t>
  </si>
  <si>
    <t>- Ngày thanh toán: 29/07/2021</t>
  </si>
  <si>
    <t>- Ngày thanh toán  :  15/07/2021</t>
  </si>
  <si>
    <t>- Ngày thanh toán  :  28/07/2021</t>
  </si>
  <si>
    <t>- Thời gian thực hiện:15/07/2021</t>
  </si>
  <si>
    <t>- Ngày thanh toán: 08/07/2021</t>
  </si>
  <si>
    <t>Ngày thanh toán: 29/07/2021</t>
  </si>
  <si>
    <t>-     Thời gian thực hiện: 22/07/2021</t>
  </si>
  <si>
    <t>+ Thời gian thanh toán: 21/06/2021
+ Thời gian thanh toán: 25/06/2021</t>
  </si>
  <si>
    <t>Ngày thanh toán: Ngày 30/07/2021</t>
  </si>
  <si>
    <t>+ Thời gian thanh toán: 27/05/2019
+ Thời gian thanh toán: 27/05/2024</t>
  </si>
  <si>
    <t>- Ngày thanh toán  :  26/07/2021</t>
  </si>
  <si>
    <t>- Thời gian thực hiện: 15/07/2021</t>
  </si>
  <si>
    <t>- Ngày thanh toán: 05/07/2021</t>
  </si>
  <si>
    <t>+ Thời gian thanh toán: 16/06/2021
+ Thời gian thanh toán: 15/10/2021</t>
  </si>
  <si>
    <t>-  Ngày thanh toán:08/07/2021</t>
  </si>
  <si>
    <t>- Thời gian thực hiện:01/07/2021</t>
  </si>
  <si>
    <t xml:space="preserve">-  Thời gian thực hiện:  26/07/2021  </t>
  </si>
  <si>
    <t>- Thời gian thực hiện:23/07/2021</t>
  </si>
  <si>
    <t>- Thời gian thực hiện: 23/07/2021</t>
  </si>
  <si>
    <t>- Ngày thanh toán: 09/07/2021</t>
  </si>
  <si>
    <t>- Ngày thanh toán: 30/06/2021</t>
  </si>
  <si>
    <t>- Ngày thanh toán:01/07/2021</t>
  </si>
  <si>
    <t>- Thời gian thực hiện: 30/06/2021</t>
  </si>
  <si>
    <t>+ Thời gian thanh toán: 30/06/2021
+ Thời gian thanh toán: 30/06/2023</t>
  </si>
  <si>
    <t>- Ngày thanh toán: 20/07/2021</t>
  </si>
  <si>
    <t>- Ngày thanh toán: 12/07/2021</t>
  </si>
  <si>
    <t>- Thời gian thực hiện:12/07/2021</t>
  </si>
  <si>
    <t>-  Ngày thanh toán: 07/07/2021</t>
  </si>
  <si>
    <t>- Ngày thanh toán: 01/07/2021</t>
  </si>
  <si>
    <t>- Ngày thanh toán: 23/06/2021</t>
  </si>
  <si>
    <t>Ngày thanh toán: 05/07/2021</t>
  </si>
  <si>
    <t>- Thời gian thực hiện: 25/06/2021</t>
  </si>
  <si>
    <t>-  Thời gian thực hiện: 28/06/2021</t>
  </si>
  <si>
    <t>- Ngày thanh toán: 14/07/2021</t>
  </si>
  <si>
    <t>- Thời gian thực hiện: 24/06/2021</t>
  </si>
  <si>
    <t>- Thời gian thực hiện: 28/06/2021</t>
  </si>
  <si>
    <t>- Ngày thanh toán: 02/07/2021</t>
  </si>
  <si>
    <t>Ngày thanh toán: 15/07/2021</t>
  </si>
  <si>
    <t>- Ngày thanh toán: 28/06/2021</t>
  </si>
  <si>
    <t>- Thời gian thực hiện: 23/06/2021</t>
  </si>
  <si>
    <t>+ Thời gian thanh toán: 04/06/2021
+ Thời gian thanh toán: 21/06/2021</t>
  </si>
  <si>
    <t>- Thời gian thực hiện: 09/07/2021</t>
  </si>
  <si>
    <t>- Thời gian thực hiện: 06/07/2021</t>
  </si>
  <si>
    <t>- Ngày thanh toán: 07/07/2021</t>
  </si>
  <si>
    <t>- Thời gian thanh toán:01/07/2021</t>
  </si>
  <si>
    <t>- Thời gian thực hiện: 29/06/2021</t>
  </si>
  <si>
    <t>- Ngày thanh toán:07/07/2021</t>
  </si>
  <si>
    <t>- Ngày thanh toán: 24/06/2021</t>
  </si>
  <si>
    <t>Thời gian thực hiện: Ngày 24/06/2021</t>
  </si>
  <si>
    <t>Ngày thanh toán: 21/06/2021</t>
  </si>
  <si>
    <t>- Ngày thanh toán: 21/06/2021</t>
  </si>
  <si>
    <t xml:space="preserve">- Thời gian thực hiện: 30/06/2021 </t>
  </si>
  <si>
    <t>- Ngày thanh toán: 22/06/2021</t>
  </si>
  <si>
    <t>- Thời gian thanh toán cổ tức bằng tiền: 24/06/2021</t>
  </si>
  <si>
    <t>- Ngày thanh toán: 25/06/2021</t>
  </si>
  <si>
    <t>- Thời gian thực hiện: 21/06/2021</t>
  </si>
  <si>
    <t>- Thời gian thực hiện:30/06/2021</t>
  </si>
  <si>
    <t>- Thời gian thực hiện: 14/07/2021</t>
  </si>
  <si>
    <t>- Thời gian thực hiện: 18/06/2021</t>
  </si>
  <si>
    <t>- Ngày thanh toán: 06/07/2021</t>
  </si>
  <si>
    <t xml:space="preserve">- Thời gian thực hiện: 21/06/2021 </t>
  </si>
  <si>
    <t>- Ngày thanh toán: 17/06/2021</t>
  </si>
  <si>
    <t>- Thời gian thanh toán:25/06/2021</t>
  </si>
  <si>
    <t>Ngày thanh toán: 30/06/2021</t>
  </si>
  <si>
    <t>Thời gian thực hiện: 15/06/2021</t>
  </si>
  <si>
    <t>-     Thời gian thực hiện: Ngày 22/06/2021</t>
  </si>
  <si>
    <t>- Ngày thanh toán: 14/06/2021</t>
  </si>
  <si>
    <t>Ngày thanh toán: 22/06/2021</t>
  </si>
  <si>
    <t>- Ngày thanh toán: 18/06/2021</t>
  </si>
  <si>
    <t>- Ngày thanh toán: 15/06/2021</t>
  </si>
  <si>
    <t>- Thời gian thực hiện: 22/06/2021</t>
  </si>
  <si>
    <t>- Ngày thanh toán:15/06/2021</t>
  </si>
  <si>
    <t>Ngày thanh toán: 24/06/2021</t>
  </si>
  <si>
    <t>- Thời gian thực hiện: 07/07/2021</t>
  </si>
  <si>
    <t>- Thời gian thực hiện: 05/07/2021</t>
  </si>
  <si>
    <t>- Ngày thanh toán: 16/06/2021</t>
  </si>
  <si>
    <t>- Thời gian thực hiện: 10/06/2021</t>
  </si>
  <si>
    <t>- Ngày thanh toán: 10/06/2021</t>
  </si>
  <si>
    <t>- Thời gian thanh toán: 17/06/2021</t>
  </si>
  <si>
    <t>- Thời gian thực hiện: 11/06/2021</t>
  </si>
  <si>
    <t xml:space="preserve">- Thời gian thực hiện: 25/06/2021 </t>
  </si>
  <si>
    <t>- Thời gian thực hiện: 16/06/2021</t>
  </si>
  <si>
    <t>- Thời gian thực hiện: Ngày 11/06/2021</t>
  </si>
  <si>
    <t>- Thời gian thanh toán: 07/06/2021</t>
  </si>
  <si>
    <t>Ngày thanh toán: 25/06/2021</t>
  </si>
  <si>
    <t>-     Ngày thanh toán cổ tức đã thông báo:
-     Ngày thanh toán cổ tức điều chỉnh:</t>
  </si>
  <si>
    <t>- Thời gian thực hiện: 8h30, thứ năm, ngày 22/07/2021
- Thời gian thực hiện: 10/08/2021</t>
  </si>
  <si>
    <t>- Thời gian thanh toán cổ tức bằng tiền: 10/06/2021</t>
  </si>
  <si>
    <t xml:space="preserve">- Thời gian thực hiện: 15/07/2021 </t>
  </si>
  <si>
    <t>- Ngày thanh toán:17/06/2021</t>
  </si>
  <si>
    <t>- Thời gian thực hiện: 17/06/2021</t>
  </si>
  <si>
    <t>- Thời gian thực hiện:           16/06/2021</t>
  </si>
  <si>
    <t>- Ngày thanh toán  : 22/06/2021</t>
  </si>
  <si>
    <t>- Ngày thanh toán: 02/06/2021</t>
  </si>
  <si>
    <t>- Ngày thanh toán:24/06/2021</t>
  </si>
  <si>
    <t>- Ngày thanh toán: 03/06/2021</t>
  </si>
  <si>
    <t>- Ngày thanh toán: 07/06/2021</t>
  </si>
  <si>
    <t>- Ngày thanh toán  :  25/06/2021</t>
  </si>
  <si>
    <t>- Thời gian thực hiện: 08/06/2021</t>
  </si>
  <si>
    <t>- Ngày thanh toán: 09/06/2021</t>
  </si>
  <si>
    <t>- Ngày thanh toán: 08/06/2021</t>
  </si>
  <si>
    <t>- Ngày thanh toán: 11/06/2021</t>
  </si>
  <si>
    <t>- Thời gian thực hiện: 02/06/2021</t>
  </si>
  <si>
    <t xml:space="preserve">- Thời gian thực hiện: 15/06/2021 </t>
  </si>
  <si>
    <t>- Ngày thanh toán: 15/6/2021</t>
  </si>
  <si>
    <t>Ngày thanh toán: 16/06/2021</t>
  </si>
  <si>
    <t>- Thời gian thực hiện: 9h30 ngày thứ sáu, 25/06/2021
- Thời gian thực hiện: 30/09/2021</t>
  </si>
  <si>
    <t>- Ngày thanh toán: 31/05/2021</t>
  </si>
  <si>
    <t>- Thời gian thực hiện: 15/06/2021</t>
  </si>
  <si>
    <t>Ngày thanh toán: 26/10/2021</t>
  </si>
  <si>
    <t>Ngày thanh toán: 07/06/2021</t>
  </si>
  <si>
    <t>- Thời gian thực hiện: 04/06/2021</t>
  </si>
  <si>
    <t>- Ngày thanh toán: 07/06/2021 (thứ hai)</t>
  </si>
  <si>
    <t>- Ngày thanh toán: 31/05/2021
- Thời gian thực hiện: Trong tháng 06 năm 2021</t>
  </si>
  <si>
    <t>- Ngày thanh toán: 04/06/2021</t>
  </si>
  <si>
    <t>-     Ngày thanh toán cổ tức đã thông báo: 08/09/2021.
-     Ngày thanh toán cổ tức điều chỉnh: 19/07/2021.</t>
  </si>
  <si>
    <t>Ngày thanh toán: Ngày 10/06/2021
Thời gian thực hiện: Bắt đầu từ ngày 10/06/2021</t>
  </si>
  <si>
    <t>- Thời gian thực hiện: Thời gian cụ thể Công ty sẽ thông báo trong thư mời họp.
- Ngày thanh toán: 20/07/2021</t>
  </si>
  <si>
    <t>-     Ngày thanh toán: 28/05/2021</t>
  </si>
  <si>
    <t>- Thời gian thực hiện:           15/06/2021</t>
  </si>
  <si>
    <t>- Thời gian thực hiện:21/06/2021</t>
  </si>
  <si>
    <t>-     Ngày thanh toán: 11/06/2021</t>
  </si>
  <si>
    <t>- Thời gian thực hiện:             Từ ngày 28/05/2021 đến ngày 14/06/2021.
- Thời gian thực hiện:             Ngày 14/07/2021</t>
  </si>
  <si>
    <t>- Ngày thanh toán:14/06/2021</t>
  </si>
  <si>
    <t>- Thời gian thực hiện: 15/06/2021
- Thời gian thực hiện: Dự kiến trong tháng 06/2021 (TCPH sẽ thông báo thời gian cụ thể tại phiếu lấy ý kiến)</t>
  </si>
  <si>
    <t>Thời gian thực hiện: 01/06/2021</t>
  </si>
  <si>
    <t>+ Thời gian thanh toán: 14/05/2021
+ Thời gian thanh toán: 16/06/2021</t>
  </si>
  <si>
    <t>- Ngày thanh toán: 29/06/2021</t>
  </si>
  <si>
    <t>- Thời gian thực hiện: 28/05/2021</t>
  </si>
  <si>
    <t>- Ngày thanh toán: 01/06/2021</t>
  </si>
  <si>
    <t>- Thời gian thực hiện: 31/05/2021</t>
  </si>
  <si>
    <t>- Ngày thanh toán: 15/06/2021.</t>
  </si>
  <si>
    <t xml:space="preserve">   Ngày thanh toán: 07/06/2021.</t>
  </si>
  <si>
    <t xml:space="preserve">- Ngày thanh toán: 02/06/2021                                   </t>
  </si>
  <si>
    <t xml:space="preserve">- Thời gian thực hiện: 23/06/2021 </t>
  </si>
  <si>
    <t>- Thời gian thực hiện: Dự kiến trong khoảng thời gian từ 28/05 – 15/06/2021 (thời gian cụ thể Công ty sẽ thông báo trong thư mời)
- Ngày thanh toán: 20/07/2021</t>
  </si>
  <si>
    <t>- Ngày thanh toán: 28/05/2021</t>
  </si>
  <si>
    <t>- Ngày thanh toán  :  31/05/2021</t>
  </si>
  <si>
    <t>- Thời gian thanh toán: 21/06/2021</t>
  </si>
  <si>
    <t>- Thời gian thực hiện: 24/05/2021</t>
  </si>
  <si>
    <t xml:space="preserve">- Thời gian thực hiện: 24/05/2021 </t>
  </si>
  <si>
    <t xml:space="preserve">- Thời gian thực hiện: 27/05/2021 </t>
  </si>
  <si>
    <t>- Thời gian thực hiện: 21/05/2021</t>
  </si>
  <si>
    <t>- Thời gian thực hiện: 25/05/2021</t>
  </si>
  <si>
    <t>- Thời gian thanh toán: 27/05/2021</t>
  </si>
  <si>
    <t>-     Thời gian thanh toán: Ngày 08/06/2021   
-     Thời gian thanh toán: Ngày 20/05/2021</t>
  </si>
  <si>
    <t>- Ngày thanh toán: 26/05/2021</t>
  </si>
  <si>
    <t>- Thời gian thực hiện:27/05/2021</t>
  </si>
  <si>
    <t>- Ngày thanh toán: 25/05/2021</t>
  </si>
  <si>
    <t>- Ngày thanh toán:06/07/2021</t>
  </si>
  <si>
    <t>+ Ngày thanh toán: 06/05/2021
+ Ngày thanh toán: 31/05/2021</t>
  </si>
  <si>
    <t>- Thời gian thực hiện: 03/06/2021</t>
  </si>
  <si>
    <t>Ngày thanh toán: 24/05/2021</t>
  </si>
  <si>
    <t>- Ngày thanh toán  :  28/05/2021</t>
  </si>
  <si>
    <t>- Thời gian thực hiện:25/05/2021</t>
  </si>
  <si>
    <t>- Thời gian thực hiện: 01/06/2021</t>
  </si>
  <si>
    <t>-     Thời gian thực hiện: Ngày 14/06/2021</t>
  </si>
  <si>
    <t>- Ngày thanh toán: 27/05/2021</t>
  </si>
  <si>
    <t xml:space="preserve">- Thời gian thực hiện: 21/05/2021 </t>
  </si>
  <si>
    <t>Ngày thanh toán: 03/06/2021</t>
  </si>
  <si>
    <t>Ngày thanh toán: 25/05/2021</t>
  </si>
  <si>
    <t>- Thời gian thanh toán: 28/05/2021</t>
  </si>
  <si>
    <t>- Thời gian thanh toán: 19/05/2021</t>
  </si>
  <si>
    <t>- Thời gian thực hiện:
- Ngày thanh toán: 20/07/2021</t>
  </si>
  <si>
    <t xml:space="preserve">- Thời gian thực hiện: 01/06/2021 </t>
  </si>
  <si>
    <t xml:space="preserve">- Thời gian thực hiện: 20/05/2021 </t>
  </si>
  <si>
    <t>- Ngày thanh toán: 21/05/2021</t>
  </si>
  <si>
    <t>- Ngày thanh toán: 20/05/2021</t>
  </si>
  <si>
    <t>Ngày thanh toán: 31/05/2021</t>
  </si>
  <si>
    <t>- Ngày thanh toán: 18/05/2021</t>
  </si>
  <si>
    <t>- Ngày thanh toán: 14/05/2021</t>
  </si>
  <si>
    <t>+ Ngày thanh toán: Ngày 20 tháng 05 năm 2021</t>
  </si>
  <si>
    <t>+ Ngày thanh toán: 28/04/2021
+ Ngày thanh toán: 15/07/2021</t>
  </si>
  <si>
    <t>- Thời gian thực hiện: 18/06/2021
- Thời gian thực hiện: Ngày 25/06/2021</t>
  </si>
  <si>
    <t>- Thời gian thực hiện: 19/05/2021</t>
  </si>
  <si>
    <t>- Thời gian thực hiện: 12/05/2021</t>
  </si>
  <si>
    <t>- Thời gian thực hiện: dự kiến trong tháng 06 năm 2021
- Ngày thanh toán: 30/07/2021</t>
  </si>
  <si>
    <t>Thời gian thực hiện: 19/05/2021</t>
  </si>
  <si>
    <t>Thời gian thực hiện: 31/05/2021</t>
  </si>
  <si>
    <t>Thời gian thực hiện: 18/05/2021</t>
  </si>
  <si>
    <t>Ngày thanh toán: 17/05/2021.</t>
  </si>
  <si>
    <t>Ngày thanh toán: 07/05/2021</t>
  </si>
  <si>
    <t>- Ngày thanh toán: 17/05/2021</t>
  </si>
  <si>
    <t>- Thời gian thực hiện: 8h30 ngày 18/05/2021
- Thời gian thực hiện: 05/05/2021</t>
  </si>
  <si>
    <t>- Thời gian thực hiện: Dự kiến ngày 19/05/2021
- Ngày thanh toán: 18/05/2021</t>
  </si>
  <si>
    <t>- Thời gian thực hiện: Tổ chức phát hành thông báo sau
- Thời gian thực hiện: 20/05/2021</t>
  </si>
  <si>
    <t>- Thời gian thực hiện:Dự kiến ngày 18/05/2021
- Thời gian thực hiện: Ngày 20/05/2021</t>
  </si>
  <si>
    <t xml:space="preserve">- Thời gian thực hiện: 29/04/2021 </t>
  </si>
  <si>
    <t>- Ngày thanh toán: 04/05/2021 (do 02-03/05/2021 là ngày lễ và chủ nhật)</t>
  </si>
  <si>
    <t>- Thời gian thực hiện: 10/05/2021</t>
  </si>
  <si>
    <t>- Ngày thanh toán: 07/05/2021</t>
  </si>
  <si>
    <t>- Ngày thanh toán: Chi thành 02 đợt</t>
  </si>
  <si>
    <t>- Ngày thanh toán: 05/05/2021</t>
  </si>
  <si>
    <t>- Ngày thanh toán: 29/04/2021</t>
  </si>
  <si>
    <t>- Thời gian thực hiện: Dự kiến ngày 29/04/2021
- Ngày thanh toán: 26/04/2021</t>
  </si>
  <si>
    <t>- Ngày thanh toán  :  19/05/2021</t>
  </si>
  <si>
    <t>- Ngày thanh toán: 28/04/2021</t>
  </si>
  <si>
    <t>- Ngày thanh toán: 22/04/2021</t>
  </si>
  <si>
    <t>- Thời gian thực hiện: 29/04/2021</t>
  </si>
  <si>
    <t>- Ngày thanh toán: Ngày 06/05/2021</t>
  </si>
  <si>
    <t>- Ngày thanh toán:  29/04/2021</t>
  </si>
  <si>
    <t xml:space="preserve">- Thời gian thực hiện:10/05/2021 </t>
  </si>
  <si>
    <t>- Ngày thanh toán:15/04/2021</t>
  </si>
  <si>
    <t>- Ngày thanh toán đợt 2: 31/03/2021
- Ngày thanh toán đợt 2: 31/05/2021</t>
  </si>
  <si>
    <t>- Thời gian thực hiện: Công ty thông báo sau
- Thời gian thanh toán: 28/05/2021</t>
  </si>
  <si>
    <t xml:space="preserve">- Thời gian thực hiện: 14/05/2021 </t>
  </si>
  <si>
    <t>- Thời gian thực hiện: Ngày 11/05/2021
- Thời gian thanh toán: 07/05/2021</t>
  </si>
  <si>
    <t>- Thời gian thực hiện: Dự kiến 08/05/2021
- Thời gian thực hiện: 22/04/2021</t>
  </si>
  <si>
    <t>- Thời gian thực hiện: Dự kiến 8h30’ ngày 27/05/2021.
- Thời gian thanh toán: 20/05/2021</t>
  </si>
  <si>
    <t>- Thời gian thực hiện: 09/05/2021
- Ngày thanh toán: 13/05/2021</t>
  </si>
  <si>
    <t>- Thời gian thực hiện: Dự kiến ngày 29/04/2021</t>
  </si>
  <si>
    <t>- Ngày thanh toán: 12/04/2021</t>
  </si>
  <si>
    <t>- Thời gian thực hiện: 19/04/2021
- Thời gian thực hiện: TCPH sẽ thông báo trong thư mời họp</t>
  </si>
  <si>
    <t>- Thời gian thực hiện : Tổ chức phát hành thông báo sau
- Ngày thanh toán :  12/04/2021</t>
  </si>
  <si>
    <t>Ngày thanh toán: 16/04/2021</t>
  </si>
  <si>
    <t>- Ngày thanh toán: 20/04/2021
- Thời gian thực hiện: ngày 24/04/2021</t>
  </si>
  <si>
    <t xml:space="preserve">- Thời gian thực hiện: 28/04/2021 </t>
  </si>
  <si>
    <t>- Thời gian thực hiện: TCPH sẽ thông báo sau
- Ngày thanh toán: 10/05/2021</t>
  </si>
  <si>
    <t>+ Thời gian thực hiện: Dự kiến tháng 4/2021 (thông báo cụ thể trong thư mời)
+ Thời gian thanh toán: 10/05/2021</t>
  </si>
  <si>
    <t>- Ngày thanh toán: 07/04/2021</t>
  </si>
  <si>
    <t>- Thời gian thực hiện: 09/04/2021
- Thời gian thực hiện: TCPH sẽ thông báo chi tiết trên thư mời và trên website: tienlengroup.com.vn</t>
  </si>
  <si>
    <t>- Ngày thanh toán: 27/04/2021
- Thời gian thực hiện : dự kiến tháng 4 năm 2021 (TCPH thông báo sau trong thư mời hợp)</t>
  </si>
  <si>
    <t>Thời gian thanh toán: Ngày 30/03/2021
Thời gian thanh toán: Ngày 30/03/2022</t>
  </si>
  <si>
    <t>- Thời gian thực hiện: 16/04/2021</t>
  </si>
  <si>
    <t>- Ngày thanh toán: 12/04/2021
- Thời gian thực hiện: Dự kiến 24/04/2021</t>
  </si>
  <si>
    <t xml:space="preserve">- Thời gian thực hiện: 20/04/2021 </t>
  </si>
  <si>
    <t>+ Thời gian thực hiện: 24/04/2021
+ Thời gian thanh toán: 20/04/2021</t>
  </si>
  <si>
    <t>- Ngày thanh toán: 09/04/2021</t>
  </si>
  <si>
    <t>- Thời gian thực hiện: TCPH thông báo sau
- Thời gian thực hiện: 26/05/2021</t>
  </si>
  <si>
    <t>- Ngày thanh toán: 10/05/2021
- Thời gian thực hiện: TCPH  thông báo sau (thời gian cụ thể sẽ thông báo trong thư mời)</t>
  </si>
  <si>
    <t>- Thời gian thực hiện: 22/04/2021
- Thời gian thực hiện: 08/04/2021</t>
  </si>
  <si>
    <t>- Thời gian thực hiện: Thứ ba, ngày 27/04/2021
- Ngày thanh toán: 28/06/2021</t>
  </si>
  <si>
    <t>- Ngày thanh toán: 31/03/2021</t>
  </si>
  <si>
    <t>- Thời gian thực hiện: dự kiến ngày 24/04/2021
- Ngày thanh toán: 05/04/2021</t>
  </si>
  <si>
    <t>- Ngày thanh toán: 02/04/2021
- Thời gian thực hiện: 20/04/2021 (Thứ ba)</t>
  </si>
  <si>
    <t>- Thời gian thực hiện: TCPH sẽ thông báo sau
- Ngày thanh toán: 05/05/2021</t>
  </si>
  <si>
    <t>- Thời gian thực hiện: Ngày 28/04/2021
- Ngày thanh toán: 20/04/2021</t>
  </si>
  <si>
    <t>- Thời gian thực hiện: Dự kiến tháng 04/2021
- Ngày thanh toán: 29/04/2021</t>
  </si>
  <si>
    <t>- Thời gian thực hiện: Công ty sẽ thông báo trong Thư mời họp</t>
  </si>
  <si>
    <t>+ Thời gian thực hiện: 14h00 ngày 27/04/2021
+ Thời gian thanh toán: 12/04/2021</t>
  </si>
  <si>
    <t>+ Thời gian thực hiện: Dự kiến tháng 4 năm 2021
+ Thời gian thanh toán: 29/04/2021</t>
  </si>
  <si>
    <t>- Thời gian thực hiện: Lúc 8h00 ngày 24/04/2021
- Ngày thanh toán: 15/04/2021</t>
  </si>
  <si>
    <t>- Thời gian thực hiện: 31/03/2021</t>
  </si>
  <si>
    <t>-  Thời gian thực hiện: ngày 27/04/2021
- Ngày thanh toán: 20/04/2021</t>
  </si>
  <si>
    <t>- Thời gian thực hiện: 24/04/2021
- Thời gian thực hiện: 14/05/2021</t>
  </si>
  <si>
    <t>- Thời gian thanh toán: 30/03/2021</t>
  </si>
  <si>
    <t>- Ngày thanh toán: 29/03/2021</t>
  </si>
  <si>
    <t>- Thời gian thực hiện: Ngày 19 tháng 4 năm 2021
- Ngày thanh toán: 07/04/2021</t>
  </si>
  <si>
    <t>- Thời gian thực hiện: Dự kiến cuối tháng 4 năm 2021
- Ngày thanh toán: 01/04/2021</t>
  </si>
  <si>
    <t>- Ngày thanh toán: 09/04/2021
- Thời gian thực hiện: Dự kiến ngày 27/04/2021</t>
  </si>
  <si>
    <t>- Ngày thanh toán: 15/04/2021</t>
  </si>
  <si>
    <t>- Thời gian thực hiện: TCPH sẽ thông báo cụ thể trong thư mời họp
- Ngày thanh toán: 08/06/2021</t>
  </si>
  <si>
    <t>- Thời gian thực hiện: 17/06/2021
- Thời gian thực hiện: 08h00 ngày 24/04/2021.</t>
  </si>
  <si>
    <t>- Thời gian thực hiện: Dự kiến 23/04/2021
- Thời gian thực hiện: 21/05/2021</t>
  </si>
  <si>
    <t>- Thời gian thực hiện: Dự kiến cuối tháng 4/2021 (thời gian cụ thể sẽ thông báo sau)
- Ngày thanh toán: 07/04/2021</t>
  </si>
  <si>
    <t>- Ngày thanh toán: 30/03/2021</t>
  </si>
  <si>
    <t>- Thời gian thực hiện: Dự kiến 24/04/2021
- Thời gian thực hiện: 05/04/2021</t>
  </si>
  <si>
    <t>- Thời gian thực hiện: 23/03/2021</t>
  </si>
  <si>
    <t>- Thời gian thực hiện: 29/05/2021
Thời gian thực hiện nêu trên có thể được điều chỉnh căn cứ theo quy định của Chính phủ, UBND thành phố Hà Nội vì lý do phòng, chống dịch bệnh. Hội động quản trị công ty sẽ có thông báo nếu điều chỉnh thời gian.
- Ngày thanh toán: 28/04/2021</t>
  </si>
  <si>
    <t>+ Thời gian thanh toán: 15/03/2021
+ Thời gian thanh toán: 26/03/2021</t>
  </si>
  <si>
    <t>- Thời gian thanh toán: 26/03/2021
- Thời gian thực hiện: Trong tháng 04/2021</t>
  </si>
  <si>
    <t>- Thời gian thực hiện: Dự kiến ngày 07/04/2021
- Thời gian thanh toán: 30/07/2021</t>
  </si>
  <si>
    <t>- Ngày thanh toán: 26/03/2021</t>
  </si>
  <si>
    <t>- Thời gian thực hiện: Sẽ thông báo cụ thể trong Thông báo mời tham dự Đại hội
- Ngày thanh toán: 10/05/2021</t>
  </si>
  <si>
    <t>- Ngày thanh toán: 19/03/2021</t>
  </si>
  <si>
    <t>- Ngày thanh toán: 02/04/2021</t>
  </si>
  <si>
    <t>-     Thời gian thực hiện: Trong khoảng thời gian từ ngày 17/04/2021 đến ngày 30/04/2021
- Thời gian thực hiện: 14/04/2021</t>
  </si>
  <si>
    <t>- Ngày thanh toán: 19/04/2021
- Thời gian thực hiện: ngày 24/04/2021</t>
  </si>
  <si>
    <t>- Thời gian thực hiện: Dự kiến ngày 27/04/2021
- Ngày thanh toán: 08/04/2021</t>
  </si>
  <si>
    <t>- Thời gian thực hiện: Dự kiến 17/04/2020, Công ty sẽ thông báo cụ thể trong thư mời dự đại hội đến từng cổ đông và đăng tin trên Website Công ty
- Thời gian thực hiện: 08/04/2021</t>
  </si>
  <si>
    <t>- Ngày thanh toán: 30/03/2021
- Thời gian thực hiện: Ngày 27/04/2021</t>
  </si>
  <si>
    <t>- Thời gian thực hiện: Dự kiến tháng 04/2021 (Thời gian tổ chức cụ thể sẽ gửi thông báo sau)
- Ngày thanh toán: 30/06/2021</t>
  </si>
  <si>
    <t>- Ngày thanh toán: 18/03/2021</t>
  </si>
  <si>
    <t>- Thời gian thực hiện: Tổ chức phát hành thông báo sau
- Thời gian thực hiện: 14/04/2021</t>
  </si>
  <si>
    <t>- Thời gian thực hiện: Tổ chức phát hành thông báo sau
- Ngày thanh toán: 14/04/2021</t>
  </si>
  <si>
    <t>- Thời gian thực hiện:Dự kiến ngày 30/03/2021
- Thời gian thực hiện: 26/04/2021</t>
  </si>
  <si>
    <t>- Ngày thanh toán: 11/03/2021</t>
  </si>
  <si>
    <t>- Thời gian thực hiện: 15/03/2021</t>
  </si>
  <si>
    <t>- Thời gian thực hiện: Ngày 29/03/2021
- Ngày thanh toán: 24/03/2021</t>
  </si>
  <si>
    <t>- Ngày thanh toán: 10/03/2021
- Thời gian thực hiện: 20/04/2021.</t>
  </si>
  <si>
    <t>- Thời gian thực hiện: 02/04/2021
- Thời gian thực hiện: 22/03/2021</t>
  </si>
  <si>
    <t>- Ngày thanh toán: 15/03/2021</t>
  </si>
  <si>
    <t>- Thời gian thực hiện dự kiến: 31/03/2021
- Ngày thanh toán: 15/04/2021</t>
  </si>
  <si>
    <t>+ Thời gian thực hiện: Dự kiến cuối tháng 03/2021
+ Thời gian thanh toán: 08/03/2021</t>
  </si>
  <si>
    <t>-     Thời gian thực hiện: dự kiến tháng 04/2021 (Tổ chức phát hành sẽ thông báo chính thức trong thư mời họp ĐHCĐ).
-     Ngày thanh toán: 29/03/2021</t>
  </si>
  <si>
    <t>- Thời gian thực hiện: Dự kiến ngày 02/04/2021</t>
  </si>
  <si>
    <t>- Thời gian thực hiện: 19/03/2021
- Ngày thanh toán: 25/03/2021</t>
  </si>
  <si>
    <t>- Ngày thanh toán: 01/03/2021</t>
  </si>
  <si>
    <t>- Ngày thanh toán: 12/03/2021</t>
  </si>
  <si>
    <t>- Thời gian thực hiện: 12/03/2021</t>
  </si>
  <si>
    <t>- Thời gian thực hiện: Dự kiến ngày 23/04/2021
- Thời gian thực hiện: 15/03/2021</t>
  </si>
  <si>
    <t>- Ngày thanh toán: 04/03/2021</t>
  </si>
  <si>
    <t>- Thời gian thực hiện: 03/03/2021</t>
  </si>
  <si>
    <t>- Thời gian thực hiện: 26/03/2021</t>
  </si>
  <si>
    <t>- Ngày thanh toán: 31/03/2021
-  Thời gian thực hiện: Thông báo sau</t>
  </si>
  <si>
    <t>- Thời gian thực hiện: 08/03/2021</t>
  </si>
  <si>
    <t>- Thời gian thực hiện: 26/02/2021</t>
  </si>
  <si>
    <t>- Ngày thanh toán: 19/02/2021</t>
  </si>
  <si>
    <t>- Thời gian thực hiện: 25/02/2021</t>
  </si>
  <si>
    <t>Ngày thanh toán: 16/03/2021</t>
  </si>
  <si>
    <t>- Thời gian thực hiện: 25/03/2021</t>
  </si>
  <si>
    <t>+ Thời gian thực hiện: 26/03/2021
+ Thời gian thanh toán: 05/04/2021</t>
  </si>
  <si>
    <t>- Ngày thanh toán: 09/02/2021</t>
  </si>
  <si>
    <t>+ Thời gian thực hiện: 26/03/2021
+ Thời gian thanh toán: 26/02/2021</t>
  </si>
  <si>
    <t>-     Thời gian thanh toán: 05/02/2021</t>
  </si>
  <si>
    <t>- Ngày thanh toán  :  09/02/2021</t>
  </si>
  <si>
    <t>- Thời gian thực hiện: 02/02/2021</t>
  </si>
  <si>
    <t>- Thời gian thực hiện: 05/02/2021</t>
  </si>
  <si>
    <t>-     Ngày thanh toán: 05/02/2021</t>
  </si>
  <si>
    <t>- Thời gian thực hiện: 08/02/2021</t>
  </si>
  <si>
    <t>- Thời gian thực hiện: 24/03/2021</t>
  </si>
  <si>
    <t>- Ngày thanh toán: 08/02/2021</t>
  </si>
  <si>
    <t>- Thời gian thanh toán: Ngày 04/02/2021</t>
  </si>
  <si>
    <t>-  Thời gian thanh toán:           Ngày 03/02/2021</t>
  </si>
  <si>
    <t>- Ngày thanh toán: 29/01/2021</t>
  </si>
  <si>
    <t>- Thời gian thực hiện: 19/02/2021</t>
  </si>
  <si>
    <t>Ngày thanh toán: Ngày 29/01/2021</t>
  </si>
  <si>
    <t>- Ngày thanh toán: 25/01/2021</t>
  </si>
  <si>
    <t>- Ngày thanh toán: 03/02/2021</t>
  </si>
  <si>
    <t>- Ngày thanh toán: 28/01/2021</t>
  </si>
  <si>
    <t>- Ngày thanh toán: 10/03/2021</t>
  </si>
  <si>
    <t>- Thời gian thực hiện: 29/01/2021</t>
  </si>
  <si>
    <t>- Ngày thanh toán: 02/02/2021</t>
  </si>
  <si>
    <t>- Thời gian thực hiện: 28/01/2021</t>
  </si>
  <si>
    <t>Thời gian thực hiện: 27/01/2021</t>
  </si>
  <si>
    <t>Ngày thanh toán: 29/01/2021</t>
  </si>
  <si>
    <t>Ngày thanh toán: 22/01/2021</t>
  </si>
  <si>
    <t>- Thời gian thực hiện: 22/01/2021</t>
  </si>
  <si>
    <t>- Thời gian thực hiện: 27/01/2021</t>
  </si>
  <si>
    <t>- Thời gian thực hiện: 25/01/2021</t>
  </si>
  <si>
    <t>-Thời gian thanh toán: Ngày 31/12/2020
-Thời gian thanh toán: Ngày 30/06/2021</t>
  </si>
  <si>
    <t>+ Thời gian thanh toán: 31/12/2020
+ Thời gian thanh toán: 30/09/2021</t>
  </si>
  <si>
    <t>- Ngày thanh toán: 20/05/2021
- Ngày thanh toán: 24/06/2021</t>
  </si>
  <si>
    <t>- Thời gian thực hiện: 15/01/2021</t>
  </si>
  <si>
    <t>Ngày thanh toán: 21/01/2021</t>
  </si>
  <si>
    <t>- Thời gian thực hiện: dự kiến từ ngày 15/01/2021 đến ngày 01/02/2021, thời gian cụ thể TCPH sẽ thông báo trong phiếu lấy ý kiến gửi cổ đông
- Ngày thanh toán: 04/02/2021</t>
  </si>
  <si>
    <t>- Ngày thanh toán: 21/01/2021
- Ngày thanh toán: 30/12/2020</t>
  </si>
  <si>
    <t>- Ngày thanh toán: 26/01/2021</t>
  </si>
  <si>
    <t>Thời gian thực hiện thanh toán cổ tức: 25/12/2020
Thời gian thực hiện thanh toán cổ tức: 30/12/2020</t>
  </si>
  <si>
    <t>- Ngày thanh toán: 20/01/2021</t>
  </si>
  <si>
    <t>Thời gian thanh toán: Ngày 27/01/2021</t>
  </si>
  <si>
    <t>-     Ngày thanh toán: 21/01/2021</t>
  </si>
  <si>
    <t>Thời gian thanh toán: Ngày 28/12/2020
Thời gian thanh toán: Ngày 30/12/2021</t>
  </si>
  <si>
    <t>- Ngày thanh toán đợt 2: 28/12/2020
- Ngày thanh toán đợt 2: 31/03/2021</t>
  </si>
  <si>
    <t>Thời gian thanh toán: Ngày 25/12/2020
Thời gian thanh toán: Ngày 29/01/2021</t>
  </si>
  <si>
    <t>Thời gian thanh toán: Ngày 25/12/2020
Thời gian thanh toán: Ngày 23/12/2022</t>
  </si>
  <si>
    <t>- Thời gian thực hiện: 03/02/2021</t>
  </si>
  <si>
    <t>- Thời gian thanh toán đã thông báo tại thông báo số 3352/TB-VSD ngày 11/11/2020 của VSD: ngày 25/12/2020
- Thời gian thanh toán điều chỉnh: ngày 30/06/2021</t>
  </si>
  <si>
    <t>- Ngày thanh toán: 13/01/2021</t>
  </si>
  <si>
    <t>- Thời gian thực hiện: 13/01/2021</t>
  </si>
  <si>
    <t>Ngày thanh toán: 15/01/2021</t>
  </si>
  <si>
    <t>- Thời gian thanh toán đã thông báo tại thông báo số 4560/VSD-ĐK.NV ngày 21/05/2020: Ngày 22/12/2020
- Thời gian thanh toán điều chỉnh: Ngày 30/06/2021</t>
  </si>
  <si>
    <t>- Thời gian thực hiện: Dự kiến thực hiện trong đầu Quý I/2021</t>
  </si>
  <si>
    <t>- Ngày thanh toán: 11/01/2021</t>
  </si>
  <si>
    <t>-     Ngày thanh toán: 15/01/2021</t>
  </si>
  <si>
    <t>+ Thời gian thanh toán: 18/12/2020
+ Thời gian thanh toán: 30/09/2021</t>
  </si>
  <si>
    <t>- Thời gian thực hiện: Dự kiến trong tháng 01/2021
- Ngày thanh toán: 20/01/2021</t>
  </si>
  <si>
    <t>- Ngày thanh toán: 26/02/2021</t>
  </si>
  <si>
    <t>-     Ngày thanh toán: 26/02/2021</t>
  </si>
  <si>
    <t>- Ngày thanh toán: 31/12/2020</t>
  </si>
  <si>
    <t>- Ngày thanh toán: 15/01/2021</t>
  </si>
  <si>
    <t>- Thời gian thanh toán: Ngày 05/02/2021</t>
  </si>
  <si>
    <t>Thời gian thực hiện: 04/01/2021</t>
  </si>
  <si>
    <t xml:space="preserve"> - Ngày thanh toán: 08/01/2021</t>
  </si>
  <si>
    <t>- Thời gian thanh toán: 07/01/2021</t>
  </si>
  <si>
    <t>- Thời gian thanh toán: 31/12/2020</t>
  </si>
  <si>
    <t>- Ngày thanh toán: 29/12/2020</t>
  </si>
  <si>
    <t>- Ngày thanh toán: 06/01/2021</t>
  </si>
  <si>
    <t>- Ngày thanh toán:   31/12/2020</t>
  </si>
  <si>
    <t>Thời gian thanh toán: Ngày 31/12/2020
Thời gian thanh toán: Ngày 31/12/2021
Thời gian thanh toán: Ngày 31/12/2020
Thời gian thanh toán: Ngày 31/12/2021</t>
  </si>
  <si>
    <t>- Ngày thanh toán: 21/01/2021</t>
  </si>
  <si>
    <t>Thời gian thực hiện: 06/01/2021</t>
  </si>
  <si>
    <t>- Thời gian thực hiện: 31/12/2020</t>
  </si>
  <si>
    <t>- Ngày thanh toán: 28/12/2020</t>
  </si>
  <si>
    <t>-     Thời gian thực hiện: dự kiến trong quý I năm 2021. Thời gian chính thức tiến hành sẽ được Công ty Cổ phần Nước Thủ Dầu Một thông báo tới cổ đông thông qua thư mời họp.
-  Ngày thanh toán: 26/04/2021</t>
  </si>
  <si>
    <t>Ngày thanh toán: 31/12/2020</t>
  </si>
  <si>
    <t>Thời gian thực hiện: Ngày 30/12/2020
Thời gian thực hiện: Ngày 30/12/2021</t>
  </si>
  <si>
    <t>- Thời gian thực hiện: 30/12/2020</t>
  </si>
  <si>
    <t>- Thời gian thực hiện: dự kiến trong tháng 03/2021
- Thời gian thực hiện: 07/04/2021</t>
  </si>
  <si>
    <t>- Ngày thanh toán:  12/01/2021</t>
  </si>
  <si>
    <t>Ngày thanh toán: 04/01/2021</t>
  </si>
  <si>
    <t>- Thời gian thực hiện: 11/01/2021</t>
  </si>
  <si>
    <t>- Ngày thanh toán: 25/12/2020</t>
  </si>
  <si>
    <t>- Thời gian thanh toán: 30/12/2020</t>
  </si>
  <si>
    <t>- Ngày thanh toán: 30/12/2020</t>
  </si>
  <si>
    <t>- Ngày thanh toán: 05/01/2021</t>
  </si>
  <si>
    <t>- Thời gian thực hiện: 23/12/2020</t>
  </si>
  <si>
    <t>Ngày thanh toán:  Ngày 29/01/2021</t>
  </si>
  <si>
    <t>- Thời gian thực hiện: 25/12/2020</t>
  </si>
  <si>
    <t>-     Ngày thanh toán : 29/12/2020</t>
  </si>
  <si>
    <t>-     Ngày thanh toán: 31/12/2020</t>
  </si>
  <si>
    <t>- Thời gian thực hiện: 14/01/2021</t>
  </si>
  <si>
    <t>- Thời gian thanh toán: 22/01/2021</t>
  </si>
  <si>
    <t>Thời gian thực hiện: Ngày 04/02/2021</t>
  </si>
  <si>
    <t>- Ngày thanh toán: 21/12/2020</t>
  </si>
  <si>
    <t>- Ngày thanh toán: 18/01/2021</t>
  </si>
  <si>
    <t>- Thời gian thực hiện: 05/01/2021</t>
  </si>
  <si>
    <t>- Ngày thanh toán : 28/12/2020</t>
  </si>
  <si>
    <t>- Thời gian thực hiện: 18/12/2020</t>
  </si>
  <si>
    <t>- Thời gian thực hiện: 28/12/2020</t>
  </si>
  <si>
    <t>- Ngày thanh toán: 16/12/2020</t>
  </si>
  <si>
    <t>- Ngày thanh toán: 18/12/2020</t>
  </si>
  <si>
    <t>- Ngày thanh toán: 15/12/2020</t>
  </si>
  <si>
    <t>Ngày thanh toán: 30/12/2020</t>
  </si>
  <si>
    <t>- Thời gian thực hiện: 24/12/2020</t>
  </si>
  <si>
    <t>- Thời gian thực hiện:</t>
  </si>
  <si>
    <t>Ngày thanh toán: 11/12/2020</t>
  </si>
  <si>
    <t>- Ngày thanh toán: 22/12/2020</t>
  </si>
  <si>
    <t>- Thông tin trước khi thay đổi: Thời gian thực hiện: 04/12/2020
- Thông tin sau khi thay đổi:  Thời gian thực hiện: 24/02/2021</t>
  </si>
  <si>
    <t>- Ngày thanh toán: 11/12/2020</t>
  </si>
  <si>
    <t>- Thời gian thực hiện: 10/12/2020</t>
  </si>
  <si>
    <t>- Ngày thanh toán: 14/12/2020</t>
  </si>
  <si>
    <t>- Ngày thanh toán: 10/12/2020</t>
  </si>
  <si>
    <t>- Thời gian thanh toán: 24/12/2020</t>
  </si>
  <si>
    <t>- Thời gian thực hiện: 08/12/2020</t>
  </si>
  <si>
    <t>- Thời gian thực hiện: 15/12/2020</t>
  </si>
  <si>
    <t>- Ngày thanh toán: 24/12/2020</t>
  </si>
  <si>
    <t>- Thời gian thực hiện: 11/12/2020</t>
  </si>
  <si>
    <t>Ngày thanh toán: 08/12/2020</t>
  </si>
  <si>
    <t>- Thời gian thực hiện: 22/12/2020</t>
  </si>
  <si>
    <t>- Ngày thanh toán: 23/12/2020</t>
  </si>
  <si>
    <t>- Ngày thanh toán: 08/12/2020</t>
  </si>
  <si>
    <t>Ngày thanh toán: 16/12/2020
+  Thời gian thanh toán: Bắt đầu từ ngày 16/12/2020 (Trừ thứ Bảy, Chủ nhật và các ngày Lễ) Sáng từ 08 giờ 00 đến 11 giờ 30, chiều từ 13 giờ 30 đến 16 giờ 30.</t>
  </si>
  <si>
    <t>- Thời gian thực hiện: 02/12/2020</t>
  </si>
  <si>
    <t>+ Thời gian thanh toán: 14/12/2020
+ Thời gian thực hiện: dự kiến 19/12/2020</t>
  </si>
  <si>
    <t>- Ngày thanh toán: 07/12/2020</t>
  </si>
  <si>
    <t>- Thời gian thanh toán: 02/12/2020</t>
  </si>
  <si>
    <t>- Ngày thanh toán: 09/12/2020</t>
  </si>
  <si>
    <t>- Thời gian thực hiện: 09/12/2020</t>
  </si>
  <si>
    <t>+ Thời gian thanh toán: 11/11/2020
+ Thời gian thanh toán: 11/12/2020</t>
  </si>
  <si>
    <t>Ngày thanh toán: 22/12/2020</t>
  </si>
  <si>
    <t>- Thời gian thực hiện: 03/12/2020</t>
  </si>
  <si>
    <t>Ngày thanh toán: 10/12/2020</t>
  </si>
  <si>
    <t>+ Ngày thanh toán: 22/12/2020
+ Ngày thanh toán: 22/06/2021</t>
  </si>
  <si>
    <t>- Ngày thanh toán: 26/11/2020</t>
  </si>
  <si>
    <t>- Ngày thanh toán: 30/11/2020</t>
  </si>
  <si>
    <t>Ngày thanh toán: 14/12/2020</t>
  </si>
  <si>
    <t>- Thời gian thực hiện: 04/12/2020</t>
  </si>
  <si>
    <t>- Ngày thanh toán: 02/12/2020</t>
  </si>
  <si>
    <t>- Thời gian thực hiện: 30/11/2020</t>
  </si>
  <si>
    <t>- Ngày thanh toán: 27/11/2020</t>
  </si>
  <si>
    <t>- Thời gian thanh toán: 04/12/2020</t>
  </si>
  <si>
    <t>- Thời gian thực hiện: 27/11/2020</t>
  </si>
  <si>
    <t>-     Thời gian thực hiện: 14/01/2021
- Thời gian thực hiện: 28/12/2020</t>
  </si>
  <si>
    <t>- Thời gian thực hiện: 14/12/2020</t>
  </si>
  <si>
    <t>- Ngày thanh toán: Thứ ba, ngày 08/12/2020</t>
  </si>
  <si>
    <t xml:space="preserve"> - Ngày thanh toán: ngày 25/11/2020</t>
  </si>
  <si>
    <t>- Thời gian thực hiện: 02/11/2020
- Thời gian thực hiện: 05/11/2020</t>
  </si>
  <si>
    <t xml:space="preserve"> Ngày thanh toán: 18/12/2020</t>
  </si>
  <si>
    <t>Ngày thanh toán: 23/11/2020</t>
  </si>
  <si>
    <t>- Ngày thanh toán        :   10/12/2020</t>
  </si>
  <si>
    <t>Thời gian thực hiện: dự kiến ngày 15/12/2020
- Thời gian thực hiện: 14/12/2020</t>
  </si>
  <si>
    <t>+ Thời gian thực hiện: 08/12/2020
+ Thời gian thực hiện: 28/12/2020</t>
  </si>
  <si>
    <t>- Thời gian thực hiện: 26/11/2020</t>
  </si>
  <si>
    <t>- Thời gian thực hiện: 18/12/2020
- Ngày thanh toán: Ngày 08/12/2020</t>
  </si>
  <si>
    <t>- Ngày thanh toán: 25/11/2020</t>
  </si>
  <si>
    <t>- Ngày thanh toán: ngày 03/12/2020</t>
  </si>
  <si>
    <t>- Ngày thanh toán:                  23/11/2020</t>
  </si>
  <si>
    <t>- Thời gian thực hiện: 20/11/2020</t>
  </si>
  <si>
    <t>- Ngày thanh toán: 17/12/2020</t>
  </si>
  <si>
    <t>- Thời gian thực hiện: ngày 26/11/2020</t>
  </si>
  <si>
    <t>- Ngày thanh toán: 11/11/2020</t>
  </si>
  <si>
    <t>- Thời gian thực hiện: dự kiến tháng 11/2020</t>
  </si>
  <si>
    <t>- Ngày thanh toán: 13/11/2020</t>
  </si>
  <si>
    <t>- Ngày thanh toán: 23/11/2020</t>
  </si>
  <si>
    <t>- Ngày thanh toán: 06/11/2020</t>
  </si>
  <si>
    <t>Thời gian thực hiện: 10/11/2020</t>
  </si>
  <si>
    <t>- Thời gian thực hiện: 13/11/2020</t>
  </si>
  <si>
    <t>+ Thời gian thanh toán: 20/10/2020
+ Thời gian thanh toán: 20/10/2021</t>
  </si>
  <si>
    <t>- Thời gian thực hiện: 23/11/2020</t>
  </si>
  <si>
    <t>- Ngày thanh toán: 20/11/2020</t>
  </si>
  <si>
    <t>- Ngày thanh toán: 16/11/2020</t>
  </si>
  <si>
    <t>- Thời gian thực hiện: 24/11/2020</t>
  </si>
  <si>
    <t>- Thời gian thực hiện: 09/11/2020</t>
  </si>
  <si>
    <t>- Ngày thanh toán: 09/11/2020</t>
  </si>
  <si>
    <t>- Thời gian thực hiện: 18/11/2020</t>
  </si>
  <si>
    <t>- Ngày thanh toán: 05/11/2020</t>
  </si>
  <si>
    <t>- Thời gian thanh toán:           05/11/2020</t>
  </si>
  <si>
    <t>Thời gian thực hiện: 13/11/2020</t>
  </si>
  <si>
    <t>- Thời gian thực hiện: 12/11/2020</t>
  </si>
  <si>
    <t>- Thời gian thực hiện: 16/11/2020</t>
  </si>
  <si>
    <t>- Thời gian thực hiện: 05/11/2020</t>
  </si>
  <si>
    <t>- Thời gian thực hiện: 06/11/2020</t>
  </si>
  <si>
    <t>- Ngày thanh toán: 10/11/2020</t>
  </si>
  <si>
    <t>- Ngày thanh toán: 02/11/2020</t>
  </si>
  <si>
    <t>- Ngày thanh toán: 12/11/2020</t>
  </si>
  <si>
    <t>- Thời gian thực hiện: 10/11/2020</t>
  </si>
  <si>
    <t>- Ngày thanh toán: 24/11/2020</t>
  </si>
  <si>
    <t>- Thời gian thực hiện: Dự kiến từ ngày 30/10/2020 đến ngày 18/11/2020
- Ngày thanh toán: 16/11/2020</t>
  </si>
  <si>
    <t>- Thời gian thực hiện: 28/10/2020</t>
  </si>
  <si>
    <t>- Ngày thanh toán: 30/10/2020</t>
  </si>
  <si>
    <t>- Thời gian thực hiện: 30/10/2020
- Thời gian thực hiện: 10/11/2020</t>
  </si>
  <si>
    <t>- Thời gian thanh toán: 29/10/2020</t>
  </si>
  <si>
    <t>Ngày thanh toán: 23/10/2020</t>
  </si>
  <si>
    <t>- Thời gian thực hiện: 30/10/2020</t>
  </si>
  <si>
    <t>- Ngày thanh toán: Ngày 28/10/2020</t>
  </si>
  <si>
    <t>- Ngày thanh toán: 22/10/2020</t>
  </si>
  <si>
    <t>- Thời gian thanh toán đã thông báo tại công văn số 3635/VSD-ĐK.NV ngày 23/04/2020: Ngày 30/09/2020
- Thời gian thanh toán điều chỉnh: Ngày 30/06/2021</t>
  </si>
  <si>
    <t>- Thời gian thực hiện thanh toán cổ tức: 25/12/2020</t>
  </si>
  <si>
    <t>- Thời gian thực hiện: 26/10/2020</t>
  </si>
  <si>
    <t>Ngày thanh toán: 16/10/2020</t>
  </si>
  <si>
    <t>- Thời gian thực hiện thanh toán cổ tức: 10/11/2020</t>
  </si>
  <si>
    <t>b. Thời gian thực hiện: dự kiến hoàn tất lấy ý kiến vào tháng 11/2020
b. Ngày thanh toán: 30/10/2020</t>
  </si>
  <si>
    <t>- Thời gian thực hiện: 23/10/2020</t>
  </si>
  <si>
    <t>- Thời gian thực hiện: 15/10/2020</t>
  </si>
  <si>
    <t>- Ngày thanh toán: 28/10/2020</t>
  </si>
  <si>
    <t>- Ngày thanh toán: 06/11/2020
- Thời gian thực hiện: Dự kiến trong tháng 10/2020.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</si>
</sst>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71"/>
  <sheetViews>
    <sheetView tabSelected="1" workbookViewId="0"/>
  </sheetViews>
  <sheetFormatPr defaultRowHeight="15" x14ac:dyDescent="0.25"/>
  <cols>
    <col min="1" max="1" width="21" customWidth="1"/>
    <col min="2" max="5" width="24.5703125" customWidth="1"/>
    <col min="6" max="6" width="16" customWidth="1"/>
  </cols>
  <sheetData>
    <row r="1" spans="1:6" x14ac:dyDescent="0.25">
      <c r="A1" s="1" t="s">
        <v>0</v>
      </c>
      <c r="B1" s="1" t="s">
        <v>1</v>
      </c>
      <c r="C1" s="1" t="s">
        <v>2</v>
      </c>
      <c r="D1" s="1" t="s">
        <v>3</v>
      </c>
      <c r="E1" s="1" t="s">
        <v>4</v>
      </c>
      <c r="F1" s="1" t="s">
        <v>5</v>
      </c>
    </row>
    <row r="2" spans="1:6" x14ac:dyDescent="0.25">
      <c r="A2" s="2">
        <v>44461.6565162037</v>
      </c>
      <c r="B2" t="s">
        <v>6</v>
      </c>
      <c r="C2" t="s">
        <v>1459</v>
      </c>
      <c r="D2" t="s">
        <v>2218</v>
      </c>
      <c r="E2" t="s">
        <v>2469</v>
      </c>
      <c r="F2" t="str">
        <f>HYPERLINK("https://vsd.vn/vi/ad/144757","Link")</f>
        <v>Link</v>
      </c>
    </row>
    <row r="3" spans="1:6" x14ac:dyDescent="0.25">
      <c r="A3" s="2">
        <v>44461.65421296296</v>
      </c>
      <c r="B3" t="s">
        <v>7</v>
      </c>
      <c r="C3" t="s">
        <v>1460</v>
      </c>
      <c r="D3" t="s">
        <v>2219</v>
      </c>
      <c r="F3" t="str">
        <f>HYPERLINK("https://vsd.vn/vi/ad/144756","Link")</f>
        <v>Link</v>
      </c>
    </row>
    <row r="4" spans="1:6" x14ac:dyDescent="0.25">
      <c r="A4" s="2">
        <v>44461.403703703712</v>
      </c>
      <c r="B4" t="s">
        <v>8</v>
      </c>
      <c r="C4" t="s">
        <v>1461</v>
      </c>
      <c r="D4" t="s">
        <v>2220</v>
      </c>
      <c r="E4" t="s">
        <v>2470</v>
      </c>
      <c r="F4" t="str">
        <f>HYPERLINK("https://vsd.vn/vi/ad/144731","Link")</f>
        <v>Link</v>
      </c>
    </row>
    <row r="5" spans="1:6" x14ac:dyDescent="0.25">
      <c r="A5" s="2">
        <v>44460.706203703703</v>
      </c>
      <c r="B5" t="s">
        <v>9</v>
      </c>
      <c r="C5" t="s">
        <v>1462</v>
      </c>
      <c r="D5" t="s">
        <v>2221</v>
      </c>
      <c r="E5" t="s">
        <v>2471</v>
      </c>
      <c r="F5" t="str">
        <f>HYPERLINK("https://vsd.vn/vi/ad/144720","Link")</f>
        <v>Link</v>
      </c>
    </row>
    <row r="6" spans="1:6" x14ac:dyDescent="0.25">
      <c r="A6" s="2">
        <v>44460.636365740742</v>
      </c>
      <c r="B6" t="s">
        <v>10</v>
      </c>
      <c r="C6" t="s">
        <v>1463</v>
      </c>
      <c r="D6" t="s">
        <v>2221</v>
      </c>
      <c r="E6" t="s">
        <v>2472</v>
      </c>
      <c r="F6" t="str">
        <f>HYPERLINK("https://vsd.vn/vi/ad/144730","Link")</f>
        <v>Link</v>
      </c>
    </row>
    <row r="7" spans="1:6" x14ac:dyDescent="0.25">
      <c r="A7" s="2">
        <v>44460.620972222219</v>
      </c>
      <c r="B7" t="s">
        <v>11</v>
      </c>
      <c r="C7" t="s">
        <v>1464</v>
      </c>
      <c r="D7" t="s">
        <v>2219</v>
      </c>
      <c r="E7" t="s">
        <v>2473</v>
      </c>
      <c r="F7" t="str">
        <f>HYPERLINK("https://vsd.vn/vi/ad/144728","Link")</f>
        <v>Link</v>
      </c>
    </row>
    <row r="8" spans="1:6" x14ac:dyDescent="0.25">
      <c r="A8" s="2">
        <v>44460.620706018519</v>
      </c>
      <c r="B8" t="s">
        <v>12</v>
      </c>
      <c r="C8" t="s">
        <v>1465</v>
      </c>
      <c r="D8" t="s">
        <v>2222</v>
      </c>
      <c r="F8" t="str">
        <f>HYPERLINK("https://vsd.vn/vi/ad/144727","Link")</f>
        <v>Link</v>
      </c>
    </row>
    <row r="9" spans="1:6" x14ac:dyDescent="0.25">
      <c r="A9" s="2">
        <v>44460.620266203703</v>
      </c>
      <c r="B9" t="s">
        <v>13</v>
      </c>
      <c r="C9" t="s">
        <v>1466</v>
      </c>
      <c r="D9" t="s">
        <v>2219</v>
      </c>
      <c r="E9" t="s">
        <v>2473</v>
      </c>
      <c r="F9" t="str">
        <f>HYPERLINK("https://vsd.vn/vi/ad/144726","Link")</f>
        <v>Link</v>
      </c>
    </row>
    <row r="10" spans="1:6" x14ac:dyDescent="0.25">
      <c r="A10" s="2">
        <v>44460.481203703697</v>
      </c>
      <c r="B10" t="s">
        <v>14</v>
      </c>
      <c r="C10" t="s">
        <v>1467</v>
      </c>
      <c r="D10" t="s">
        <v>2218</v>
      </c>
      <c r="E10" t="s">
        <v>2474</v>
      </c>
      <c r="F10" t="str">
        <f>HYPERLINK("https://vsd.vn/vi/ad/144715","Link")</f>
        <v>Link</v>
      </c>
    </row>
    <row r="11" spans="1:6" x14ac:dyDescent="0.25">
      <c r="A11" s="2">
        <v>44459.708194444444</v>
      </c>
      <c r="B11" t="s">
        <v>15</v>
      </c>
      <c r="C11" t="s">
        <v>1467</v>
      </c>
      <c r="D11" t="s">
        <v>2218</v>
      </c>
      <c r="E11" t="s">
        <v>2475</v>
      </c>
      <c r="F11" t="str">
        <f>HYPERLINK("https://vsd.vn/vi/ad/144706","Link")</f>
        <v>Link</v>
      </c>
    </row>
    <row r="12" spans="1:6" x14ac:dyDescent="0.25">
      <c r="A12" s="2">
        <v>44459.705775462957</v>
      </c>
      <c r="B12" t="s">
        <v>16</v>
      </c>
      <c r="E12" t="s">
        <v>2476</v>
      </c>
      <c r="F12" t="str">
        <f>HYPERLINK("https://vsd.vn/vi/ad/144705","Link")</f>
        <v>Link</v>
      </c>
    </row>
    <row r="13" spans="1:6" x14ac:dyDescent="0.25">
      <c r="A13" s="2">
        <v>44459.628981481481</v>
      </c>
      <c r="B13" t="s">
        <v>17</v>
      </c>
      <c r="C13" t="s">
        <v>1468</v>
      </c>
      <c r="D13" t="s">
        <v>2223</v>
      </c>
      <c r="E13" t="s">
        <v>2477</v>
      </c>
      <c r="F13" t="str">
        <f>HYPERLINK("https://vsd.vn/vi/ad/144677","Link")</f>
        <v>Link</v>
      </c>
    </row>
    <row r="14" spans="1:6" x14ac:dyDescent="0.25">
      <c r="A14" s="2">
        <v>44459.589907407397</v>
      </c>
      <c r="B14" t="s">
        <v>18</v>
      </c>
      <c r="C14" t="s">
        <v>1468</v>
      </c>
      <c r="D14" t="s">
        <v>2220</v>
      </c>
      <c r="E14" t="s">
        <v>2478</v>
      </c>
      <c r="F14" t="str">
        <f>HYPERLINK("https://vsd.vn/vi/ad/144670","Link")</f>
        <v>Link</v>
      </c>
    </row>
    <row r="15" spans="1:6" x14ac:dyDescent="0.25">
      <c r="A15" s="2">
        <v>44459.589363425926</v>
      </c>
      <c r="B15" t="s">
        <v>19</v>
      </c>
      <c r="E15" t="s">
        <v>2479</v>
      </c>
      <c r="F15" t="str">
        <f>HYPERLINK("https://vsd.vn/vi/ad/144671","Link")</f>
        <v>Link</v>
      </c>
    </row>
    <row r="16" spans="1:6" x14ac:dyDescent="0.25">
      <c r="A16" s="2">
        <v>44456.744363425933</v>
      </c>
      <c r="B16" t="s">
        <v>20</v>
      </c>
      <c r="C16" t="s">
        <v>1469</v>
      </c>
      <c r="D16" t="s">
        <v>2223</v>
      </c>
      <c r="E16" t="s">
        <v>2480</v>
      </c>
      <c r="F16" t="str">
        <f>HYPERLINK("https://vsd.vn/vi/ad/144623","Link")</f>
        <v>Link</v>
      </c>
    </row>
    <row r="17" spans="1:6" x14ac:dyDescent="0.25">
      <c r="A17" s="2">
        <v>44456.709826388891</v>
      </c>
      <c r="B17" t="s">
        <v>21</v>
      </c>
      <c r="C17" t="s">
        <v>1470</v>
      </c>
      <c r="D17" t="s">
        <v>2224</v>
      </c>
      <c r="F17" t="str">
        <f>HYPERLINK("https://vsd.vn/vi/ad/144633","Link")</f>
        <v>Link</v>
      </c>
    </row>
    <row r="18" spans="1:6" x14ac:dyDescent="0.25">
      <c r="A18" s="2">
        <v>44456.708958333344</v>
      </c>
      <c r="B18" t="s">
        <v>22</v>
      </c>
      <c r="F18" t="str">
        <f>HYPERLINK("https://vsd.vn/vi/ad/144634","Link")</f>
        <v>Link</v>
      </c>
    </row>
    <row r="19" spans="1:6" x14ac:dyDescent="0.25">
      <c r="A19" s="2">
        <v>44456.707858796297</v>
      </c>
      <c r="B19" t="s">
        <v>23</v>
      </c>
      <c r="E19" t="s">
        <v>2481</v>
      </c>
      <c r="F19" t="str">
        <f>HYPERLINK("https://vsd.vn/vi/ad/144639","Link")</f>
        <v>Link</v>
      </c>
    </row>
    <row r="20" spans="1:6" x14ac:dyDescent="0.25">
      <c r="A20" s="2">
        <v>44456.68310185185</v>
      </c>
      <c r="B20" t="s">
        <v>24</v>
      </c>
      <c r="F20" t="str">
        <f>HYPERLINK("https://vsd.vn/vi/ad/144637","Link")</f>
        <v>Link</v>
      </c>
    </row>
    <row r="21" spans="1:6" x14ac:dyDescent="0.25">
      <c r="A21" s="2">
        <v>44456.666446759264</v>
      </c>
      <c r="B21" t="s">
        <v>25</v>
      </c>
      <c r="C21" t="s">
        <v>1471</v>
      </c>
      <c r="D21" t="s">
        <v>2219</v>
      </c>
      <c r="E21" t="s">
        <v>2480</v>
      </c>
      <c r="F21" t="str">
        <f>HYPERLINK("https://vsd.vn/vi/ad/144635","Link")</f>
        <v>Link</v>
      </c>
    </row>
    <row r="22" spans="1:6" x14ac:dyDescent="0.25">
      <c r="A22" s="2">
        <v>44456.662118055552</v>
      </c>
      <c r="B22" t="s">
        <v>26</v>
      </c>
      <c r="C22" t="s">
        <v>1472</v>
      </c>
      <c r="D22" t="s">
        <v>2219</v>
      </c>
      <c r="E22" t="s">
        <v>2482</v>
      </c>
      <c r="F22" t="str">
        <f>HYPERLINK("https://vsd.vn/vi/ad/144631","Link")</f>
        <v>Link</v>
      </c>
    </row>
    <row r="23" spans="1:6" x14ac:dyDescent="0.25">
      <c r="A23" s="2">
        <v>44456.645868055559</v>
      </c>
      <c r="B23" t="s">
        <v>27</v>
      </c>
      <c r="C23" t="s">
        <v>1467</v>
      </c>
      <c r="D23" t="s">
        <v>2225</v>
      </c>
      <c r="E23" t="s">
        <v>2475</v>
      </c>
      <c r="F23" t="str">
        <f>HYPERLINK("https://vsd.vn/vi/ad/144628","Link")</f>
        <v>Link</v>
      </c>
    </row>
    <row r="24" spans="1:6" x14ac:dyDescent="0.25">
      <c r="A24" s="2">
        <v>44455.691631944443</v>
      </c>
      <c r="B24" t="s">
        <v>28</v>
      </c>
      <c r="C24" t="s">
        <v>1473</v>
      </c>
      <c r="D24" t="s">
        <v>2226</v>
      </c>
      <c r="E24" t="s">
        <v>2483</v>
      </c>
      <c r="F24" t="str">
        <f>HYPERLINK("https://vsd.vn/vi/ad/144596","Link")</f>
        <v>Link</v>
      </c>
    </row>
    <row r="25" spans="1:6" x14ac:dyDescent="0.25">
      <c r="A25" s="2">
        <v>44455.669363425928</v>
      </c>
      <c r="B25" t="s">
        <v>29</v>
      </c>
      <c r="C25" t="s">
        <v>1467</v>
      </c>
      <c r="D25" t="s">
        <v>2223</v>
      </c>
      <c r="E25" t="s">
        <v>2484</v>
      </c>
      <c r="F25" t="str">
        <f>HYPERLINK("https://vsd.vn/vi/ad/144604","Link")</f>
        <v>Link</v>
      </c>
    </row>
    <row r="26" spans="1:6" x14ac:dyDescent="0.25">
      <c r="A26" s="2">
        <v>44455.571597222217</v>
      </c>
      <c r="B26" t="s">
        <v>30</v>
      </c>
      <c r="C26" t="s">
        <v>1474</v>
      </c>
      <c r="D26" t="s">
        <v>2225</v>
      </c>
      <c r="E26" t="s">
        <v>2485</v>
      </c>
      <c r="F26" t="str">
        <f>HYPERLINK("https://vsd.vn/vi/ad/144598","Link")</f>
        <v>Link</v>
      </c>
    </row>
    <row r="27" spans="1:6" x14ac:dyDescent="0.25">
      <c r="A27" s="2">
        <v>44455.459814814807</v>
      </c>
      <c r="B27" t="s">
        <v>31</v>
      </c>
      <c r="C27" t="s">
        <v>1475</v>
      </c>
      <c r="D27" t="s">
        <v>2219</v>
      </c>
      <c r="E27" t="s">
        <v>2483</v>
      </c>
      <c r="F27" t="str">
        <f>HYPERLINK("https://vsd.vn/vi/ad/144597","Link")</f>
        <v>Link</v>
      </c>
    </row>
    <row r="28" spans="1:6" x14ac:dyDescent="0.25">
      <c r="A28" s="2">
        <v>44455.436076388891</v>
      </c>
      <c r="B28" t="s">
        <v>32</v>
      </c>
      <c r="C28" t="s">
        <v>1476</v>
      </c>
      <c r="D28" t="s">
        <v>2218</v>
      </c>
      <c r="F28" t="str">
        <f>HYPERLINK("https://vsd.vn/vi/ad/144595","Link")</f>
        <v>Link</v>
      </c>
    </row>
    <row r="29" spans="1:6" x14ac:dyDescent="0.25">
      <c r="A29" s="2">
        <v>44455.383888888893</v>
      </c>
      <c r="B29" t="s">
        <v>33</v>
      </c>
      <c r="C29" t="s">
        <v>1477</v>
      </c>
      <c r="D29" t="s">
        <v>2221</v>
      </c>
      <c r="E29" t="s">
        <v>2485</v>
      </c>
      <c r="F29" t="str">
        <f>HYPERLINK("https://vsd.vn/vi/ad/144582","Link")</f>
        <v>Link</v>
      </c>
    </row>
    <row r="30" spans="1:6" x14ac:dyDescent="0.25">
      <c r="A30" s="2">
        <v>44455.368148148147</v>
      </c>
      <c r="B30" t="s">
        <v>34</v>
      </c>
      <c r="C30" t="s">
        <v>1478</v>
      </c>
      <c r="D30" t="s">
        <v>2227</v>
      </c>
      <c r="F30" t="str">
        <f>HYPERLINK("https://vsd.vn/vi/ad/144588","Link")</f>
        <v>Link</v>
      </c>
    </row>
    <row r="31" spans="1:6" x14ac:dyDescent="0.25">
      <c r="A31" s="2">
        <v>44455.367314814823</v>
      </c>
      <c r="B31" t="s">
        <v>35</v>
      </c>
      <c r="C31" t="s">
        <v>1479</v>
      </c>
      <c r="D31" t="s">
        <v>2223</v>
      </c>
      <c r="E31" t="s">
        <v>2473</v>
      </c>
      <c r="F31" t="str">
        <f>HYPERLINK("https://vsd.vn/vi/ad/144589","Link")</f>
        <v>Link</v>
      </c>
    </row>
    <row r="32" spans="1:6" x14ac:dyDescent="0.25">
      <c r="A32" s="2">
        <v>44455.366284722222</v>
      </c>
      <c r="B32" t="s">
        <v>36</v>
      </c>
      <c r="C32" t="s">
        <v>1477</v>
      </c>
      <c r="D32" t="s">
        <v>2220</v>
      </c>
      <c r="E32" t="s">
        <v>2477</v>
      </c>
      <c r="F32" t="str">
        <f>HYPERLINK("https://vsd.vn/vi/ad/144593","Link")</f>
        <v>Link</v>
      </c>
    </row>
    <row r="33" spans="1:6" x14ac:dyDescent="0.25">
      <c r="A33" s="2">
        <v>44455.364305555559</v>
      </c>
      <c r="B33" t="s">
        <v>37</v>
      </c>
      <c r="C33" t="s">
        <v>1480</v>
      </c>
      <c r="D33" t="s">
        <v>2219</v>
      </c>
      <c r="E33" t="s">
        <v>2486</v>
      </c>
      <c r="F33" t="str">
        <f>HYPERLINK("https://vsd.vn/vi/ad/144585","Link")</f>
        <v>Link</v>
      </c>
    </row>
    <row r="34" spans="1:6" x14ac:dyDescent="0.25">
      <c r="A34" s="2">
        <v>44455.359988425917</v>
      </c>
      <c r="B34" t="s">
        <v>38</v>
      </c>
      <c r="C34" t="s">
        <v>1481</v>
      </c>
      <c r="D34" t="s">
        <v>2222</v>
      </c>
      <c r="E34" t="s">
        <v>2487</v>
      </c>
      <c r="F34" t="str">
        <f>HYPERLINK("https://vsd.vn/vi/ad/144591","Link")</f>
        <v>Link</v>
      </c>
    </row>
    <row r="35" spans="1:6" x14ac:dyDescent="0.25">
      <c r="A35" s="2">
        <v>44455.357361111113</v>
      </c>
      <c r="B35" t="s">
        <v>39</v>
      </c>
      <c r="C35" t="s">
        <v>1479</v>
      </c>
      <c r="D35" t="s">
        <v>2219</v>
      </c>
      <c r="E35" t="s">
        <v>2488</v>
      </c>
      <c r="F35" t="str">
        <f>HYPERLINK("https://vsd.vn/vi/ad/144590","Link")</f>
        <v>Link</v>
      </c>
    </row>
    <row r="36" spans="1:6" x14ac:dyDescent="0.25">
      <c r="A36" s="2">
        <v>44454.708495370367</v>
      </c>
      <c r="B36" t="s">
        <v>40</v>
      </c>
      <c r="C36" t="s">
        <v>1468</v>
      </c>
      <c r="D36" t="s">
        <v>2218</v>
      </c>
      <c r="E36" t="s">
        <v>2489</v>
      </c>
      <c r="F36" t="str">
        <f>HYPERLINK("https://vsd.vn/vi/ad/144568","Link")</f>
        <v>Link</v>
      </c>
    </row>
    <row r="37" spans="1:6" x14ac:dyDescent="0.25">
      <c r="A37" s="2">
        <v>44454.708055555559</v>
      </c>
      <c r="B37" t="s">
        <v>41</v>
      </c>
      <c r="C37" t="s">
        <v>1482</v>
      </c>
      <c r="D37" t="s">
        <v>2224</v>
      </c>
      <c r="F37" t="str">
        <f>HYPERLINK("https://vsd.vn/vi/ad/144570","Link")</f>
        <v>Link</v>
      </c>
    </row>
    <row r="38" spans="1:6" x14ac:dyDescent="0.25">
      <c r="A38" s="2">
        <v>44454.574537037042</v>
      </c>
      <c r="B38" t="s">
        <v>42</v>
      </c>
      <c r="E38" t="s">
        <v>2490</v>
      </c>
      <c r="F38" t="str">
        <f>HYPERLINK("https://vsd.vn/vi/ad/144556","Link")</f>
        <v>Link</v>
      </c>
    </row>
    <row r="39" spans="1:6" x14ac:dyDescent="0.25">
      <c r="A39" s="2">
        <v>44454.374479166669</v>
      </c>
      <c r="B39" t="s">
        <v>43</v>
      </c>
      <c r="D39" t="s">
        <v>2228</v>
      </c>
      <c r="E39" t="s">
        <v>2491</v>
      </c>
      <c r="F39" t="str">
        <f>HYPERLINK("https://vsd.vn/vi/ad/144561","Link")</f>
        <v>Link</v>
      </c>
    </row>
    <row r="40" spans="1:6" x14ac:dyDescent="0.25">
      <c r="A40" s="2">
        <v>44453.398738425924</v>
      </c>
      <c r="B40" t="s">
        <v>44</v>
      </c>
      <c r="C40" t="s">
        <v>1483</v>
      </c>
      <c r="D40" t="s">
        <v>2229</v>
      </c>
      <c r="E40" t="s">
        <v>2483</v>
      </c>
      <c r="F40" t="str">
        <f>HYPERLINK("https://vsd.vn/vi/ad/144543","Link")</f>
        <v>Link</v>
      </c>
    </row>
    <row r="41" spans="1:6" x14ac:dyDescent="0.25">
      <c r="A41" s="2">
        <v>44453.369259259263</v>
      </c>
      <c r="B41" t="s">
        <v>45</v>
      </c>
      <c r="F41" t="str">
        <f>HYPERLINK("https://vsd.vn/vi/ad/144542","Link")</f>
        <v>Link</v>
      </c>
    </row>
    <row r="42" spans="1:6" x14ac:dyDescent="0.25">
      <c r="A42" s="2">
        <v>44453.366365740738</v>
      </c>
      <c r="B42" t="s">
        <v>46</v>
      </c>
      <c r="C42" t="s">
        <v>1467</v>
      </c>
      <c r="D42" t="s">
        <v>2228</v>
      </c>
      <c r="E42" t="s">
        <v>2492</v>
      </c>
      <c r="F42" t="str">
        <f>HYPERLINK("https://vsd.vn/vi/ad/144536","Link")</f>
        <v>Link</v>
      </c>
    </row>
    <row r="43" spans="1:6" x14ac:dyDescent="0.25">
      <c r="A43" s="2">
        <v>44453.36546296296</v>
      </c>
      <c r="B43" t="s">
        <v>47</v>
      </c>
      <c r="C43" t="s">
        <v>1484</v>
      </c>
      <c r="D43" t="s">
        <v>2230</v>
      </c>
      <c r="E43" t="s">
        <v>2493</v>
      </c>
      <c r="F43" t="str">
        <f>HYPERLINK("https://vsd.vn/vi/ad/144535","Link")</f>
        <v>Link</v>
      </c>
    </row>
    <row r="44" spans="1:6" x14ac:dyDescent="0.25">
      <c r="A44" s="2">
        <v>44453.364641203712</v>
      </c>
      <c r="B44" t="s">
        <v>48</v>
      </c>
      <c r="C44" t="s">
        <v>1485</v>
      </c>
      <c r="D44" t="s">
        <v>2219</v>
      </c>
      <c r="E44" t="s">
        <v>2494</v>
      </c>
      <c r="F44" t="str">
        <f>HYPERLINK("https://vsd.vn/vi/ad/144534","Link")</f>
        <v>Link</v>
      </c>
    </row>
    <row r="45" spans="1:6" x14ac:dyDescent="0.25">
      <c r="A45" s="2">
        <v>44453.364039351851</v>
      </c>
      <c r="B45" t="s">
        <v>49</v>
      </c>
      <c r="C45" t="s">
        <v>1486</v>
      </c>
      <c r="D45" t="s">
        <v>2230</v>
      </c>
      <c r="E45" t="s">
        <v>2495</v>
      </c>
      <c r="F45" t="str">
        <f>HYPERLINK("https://vsd.vn/vi/ad/144541","Link")</f>
        <v>Link</v>
      </c>
    </row>
    <row r="46" spans="1:6" x14ac:dyDescent="0.25">
      <c r="A46" s="2">
        <v>44453.361944444441</v>
      </c>
      <c r="B46" t="s">
        <v>50</v>
      </c>
      <c r="C46" t="s">
        <v>1487</v>
      </c>
      <c r="D46" t="s">
        <v>2229</v>
      </c>
      <c r="E46" t="s">
        <v>2496</v>
      </c>
      <c r="F46" t="str">
        <f>HYPERLINK("https://vsd.vn/vi/ad/144540","Link")</f>
        <v>Link</v>
      </c>
    </row>
    <row r="47" spans="1:6" x14ac:dyDescent="0.25">
      <c r="A47" s="2">
        <v>44453.358541666668</v>
      </c>
      <c r="B47" t="s">
        <v>51</v>
      </c>
      <c r="C47" t="s">
        <v>1488</v>
      </c>
      <c r="D47" t="s">
        <v>2230</v>
      </c>
      <c r="E47" t="s">
        <v>2497</v>
      </c>
      <c r="F47" t="str">
        <f>HYPERLINK("https://vsd.vn/vi/ad/144539","Link")</f>
        <v>Link</v>
      </c>
    </row>
    <row r="48" spans="1:6" x14ac:dyDescent="0.25">
      <c r="A48" s="2">
        <v>44453.356620370367</v>
      </c>
      <c r="B48" t="s">
        <v>52</v>
      </c>
      <c r="C48" t="s">
        <v>1479</v>
      </c>
      <c r="D48" t="s">
        <v>2230</v>
      </c>
      <c r="E48" t="s">
        <v>2495</v>
      </c>
      <c r="F48" t="str">
        <f>HYPERLINK("https://vsd.vn/vi/ad/144538","Link")</f>
        <v>Link</v>
      </c>
    </row>
    <row r="49" spans="1:6" x14ac:dyDescent="0.25">
      <c r="A49" s="2">
        <v>44452.48777777778</v>
      </c>
      <c r="B49" t="s">
        <v>53</v>
      </c>
      <c r="C49" t="s">
        <v>1489</v>
      </c>
      <c r="D49" t="s">
        <v>2231</v>
      </c>
      <c r="E49" t="s">
        <v>2498</v>
      </c>
      <c r="F49" t="str">
        <f>HYPERLINK("https://vsd.vn/vi/ad/144511","Link")</f>
        <v>Link</v>
      </c>
    </row>
    <row r="50" spans="1:6" x14ac:dyDescent="0.25">
      <c r="A50" s="2">
        <v>44449.708298611113</v>
      </c>
      <c r="B50" t="s">
        <v>54</v>
      </c>
      <c r="C50" t="s">
        <v>1484</v>
      </c>
      <c r="D50" t="s">
        <v>2231</v>
      </c>
      <c r="E50" t="s">
        <v>2499</v>
      </c>
      <c r="F50" t="str">
        <f>HYPERLINK("https://vsd.vn/vi/ad/144468","Link")</f>
        <v>Link</v>
      </c>
    </row>
    <row r="51" spans="1:6" x14ac:dyDescent="0.25">
      <c r="A51" s="2">
        <v>44449.708078703698</v>
      </c>
      <c r="B51" t="s">
        <v>55</v>
      </c>
      <c r="C51" t="s">
        <v>1490</v>
      </c>
      <c r="D51" t="s">
        <v>2229</v>
      </c>
      <c r="E51" t="s">
        <v>2500</v>
      </c>
      <c r="F51" t="str">
        <f>HYPERLINK("https://vsd.vn/vi/ad/144490","Link")</f>
        <v>Link</v>
      </c>
    </row>
    <row r="52" spans="1:6" x14ac:dyDescent="0.25">
      <c r="A52" s="2">
        <v>44449.658946759257</v>
      </c>
      <c r="B52" t="s">
        <v>56</v>
      </c>
      <c r="C52" t="s">
        <v>1491</v>
      </c>
      <c r="D52" t="s">
        <v>2230</v>
      </c>
      <c r="E52" t="s">
        <v>2501</v>
      </c>
      <c r="F52" t="str">
        <f>HYPERLINK("https://vsd.vn/vi/ad/144491","Link")</f>
        <v>Link</v>
      </c>
    </row>
    <row r="53" spans="1:6" x14ac:dyDescent="0.25">
      <c r="A53" s="2">
        <v>44449.471400462957</v>
      </c>
      <c r="B53" t="s">
        <v>57</v>
      </c>
      <c r="C53" t="s">
        <v>1468</v>
      </c>
      <c r="D53" t="s">
        <v>2231</v>
      </c>
      <c r="E53" t="s">
        <v>2502</v>
      </c>
      <c r="F53" t="str">
        <f>HYPERLINK("https://vsd.vn/vi/ad/144479","Link")</f>
        <v>Link</v>
      </c>
    </row>
    <row r="54" spans="1:6" x14ac:dyDescent="0.25">
      <c r="A54" s="2">
        <v>44449.469467592593</v>
      </c>
      <c r="B54" t="s">
        <v>58</v>
      </c>
      <c r="C54" t="s">
        <v>1492</v>
      </c>
      <c r="D54" t="s">
        <v>2231</v>
      </c>
      <c r="E54" t="s">
        <v>2503</v>
      </c>
      <c r="F54" t="str">
        <f>HYPERLINK("https://vsd.vn/vi/ad/144477","Link")</f>
        <v>Link</v>
      </c>
    </row>
    <row r="55" spans="1:6" x14ac:dyDescent="0.25">
      <c r="A55" s="2">
        <v>44449.439942129633</v>
      </c>
      <c r="B55" t="s">
        <v>59</v>
      </c>
      <c r="C55" t="s">
        <v>1493</v>
      </c>
      <c r="D55" t="s">
        <v>2231</v>
      </c>
      <c r="F55" t="str">
        <f>HYPERLINK("https://vsd.vn/vi/ad/144437","Link")</f>
        <v>Link</v>
      </c>
    </row>
    <row r="56" spans="1:6" x14ac:dyDescent="0.25">
      <c r="A56" s="2">
        <v>44448.591111111113</v>
      </c>
      <c r="B56" t="s">
        <v>60</v>
      </c>
      <c r="C56" t="s">
        <v>1494</v>
      </c>
      <c r="D56" t="s">
        <v>2230</v>
      </c>
      <c r="E56" t="s">
        <v>2497</v>
      </c>
      <c r="F56" t="str">
        <f>HYPERLINK("https://vsd.vn/vi/ad/144426","Link")</f>
        <v>Link</v>
      </c>
    </row>
    <row r="57" spans="1:6" x14ac:dyDescent="0.25">
      <c r="A57" s="2">
        <v>44448.590902777767</v>
      </c>
      <c r="B57" t="s">
        <v>61</v>
      </c>
      <c r="C57" t="s">
        <v>1467</v>
      </c>
      <c r="D57" t="s">
        <v>2232</v>
      </c>
      <c r="E57" t="s">
        <v>2491</v>
      </c>
      <c r="F57" t="str">
        <f>HYPERLINK("https://vsd.vn/vi/ad/144425","Link")</f>
        <v>Link</v>
      </c>
    </row>
    <row r="58" spans="1:6" x14ac:dyDescent="0.25">
      <c r="A58" s="2">
        <v>44448.586064814823</v>
      </c>
      <c r="B58" t="s">
        <v>62</v>
      </c>
      <c r="C58" t="s">
        <v>1495</v>
      </c>
      <c r="D58" t="s">
        <v>2232</v>
      </c>
      <c r="F58" t="str">
        <f>HYPERLINK("https://vsd.vn/vi/ad/144413","Link")</f>
        <v>Link</v>
      </c>
    </row>
    <row r="59" spans="1:6" x14ac:dyDescent="0.25">
      <c r="A59" s="2">
        <v>44448.585729166669</v>
      </c>
      <c r="B59" t="s">
        <v>63</v>
      </c>
      <c r="C59" t="s">
        <v>1496</v>
      </c>
      <c r="D59" t="s">
        <v>2233</v>
      </c>
      <c r="E59" t="s">
        <v>2504</v>
      </c>
      <c r="F59" t="str">
        <f>HYPERLINK("https://vsd.vn/vi/ad/144415","Link")</f>
        <v>Link</v>
      </c>
    </row>
    <row r="60" spans="1:6" x14ac:dyDescent="0.25">
      <c r="A60" s="2">
        <v>44448.585405092592</v>
      </c>
      <c r="B60" t="s">
        <v>64</v>
      </c>
      <c r="C60" t="s">
        <v>1497</v>
      </c>
      <c r="D60" t="s">
        <v>2232</v>
      </c>
      <c r="E60" t="s">
        <v>2473</v>
      </c>
      <c r="F60" t="str">
        <f>HYPERLINK("https://vsd.vn/vi/ad/144414","Link")</f>
        <v>Link</v>
      </c>
    </row>
    <row r="61" spans="1:6" x14ac:dyDescent="0.25">
      <c r="A61" s="2">
        <v>44447.732881944437</v>
      </c>
      <c r="B61" t="s">
        <v>65</v>
      </c>
      <c r="C61" t="s">
        <v>1498</v>
      </c>
      <c r="D61" t="s">
        <v>2230</v>
      </c>
      <c r="E61" t="s">
        <v>2505</v>
      </c>
      <c r="F61" t="str">
        <f>HYPERLINK("https://vsd.vn/vi/ad/144420","Link")</f>
        <v>Link</v>
      </c>
    </row>
    <row r="62" spans="1:6" x14ac:dyDescent="0.25">
      <c r="A62" s="2">
        <v>44447.731956018521</v>
      </c>
      <c r="B62" t="s">
        <v>66</v>
      </c>
      <c r="C62" t="s">
        <v>1499</v>
      </c>
      <c r="D62" t="s">
        <v>2231</v>
      </c>
      <c r="E62" t="s">
        <v>2502</v>
      </c>
      <c r="F62" t="str">
        <f>HYPERLINK("https://vsd.vn/vi/ad/144418","Link")</f>
        <v>Link</v>
      </c>
    </row>
    <row r="63" spans="1:6" x14ac:dyDescent="0.25">
      <c r="A63" s="2">
        <v>44447.592557870368</v>
      </c>
      <c r="B63" t="s">
        <v>67</v>
      </c>
      <c r="C63" t="s">
        <v>1477</v>
      </c>
      <c r="D63" t="s">
        <v>2232</v>
      </c>
      <c r="E63" t="s">
        <v>2506</v>
      </c>
      <c r="F63" t="str">
        <f>HYPERLINK("https://vsd.vn/vi/ad/144397","Link")</f>
        <v>Link</v>
      </c>
    </row>
    <row r="64" spans="1:6" x14ac:dyDescent="0.25">
      <c r="A64" s="2">
        <v>44447.527129629627</v>
      </c>
      <c r="B64" t="s">
        <v>68</v>
      </c>
      <c r="C64" t="s">
        <v>1500</v>
      </c>
      <c r="D64" t="s">
        <v>2234</v>
      </c>
      <c r="E64" t="s">
        <v>2507</v>
      </c>
      <c r="F64" t="str">
        <f>HYPERLINK("https://vsd.vn/vi/ad/144394","Link")</f>
        <v>Link</v>
      </c>
    </row>
    <row r="65" spans="1:6" x14ac:dyDescent="0.25">
      <c r="A65" s="2">
        <v>44446.674351851849</v>
      </c>
      <c r="B65" t="s">
        <v>69</v>
      </c>
      <c r="C65" t="s">
        <v>1501</v>
      </c>
      <c r="D65" t="s">
        <v>2232</v>
      </c>
      <c r="E65" t="s">
        <v>2508</v>
      </c>
      <c r="F65" t="str">
        <f>HYPERLINK("https://vsd.vn/vi/ad/144358","Link")</f>
        <v>Link</v>
      </c>
    </row>
    <row r="66" spans="1:6" x14ac:dyDescent="0.25">
      <c r="A66" s="2">
        <v>44446.667083333326</v>
      </c>
      <c r="B66" t="s">
        <v>70</v>
      </c>
      <c r="C66" t="s">
        <v>1502</v>
      </c>
      <c r="D66" t="s">
        <v>2234</v>
      </c>
      <c r="E66" t="s">
        <v>2491</v>
      </c>
      <c r="F66" t="str">
        <f>HYPERLINK("https://vsd.vn/vi/ad/144357","Link")</f>
        <v>Link</v>
      </c>
    </row>
    <row r="67" spans="1:6" x14ac:dyDescent="0.25">
      <c r="A67" s="2">
        <v>44446.62945601852</v>
      </c>
      <c r="B67" t="s">
        <v>71</v>
      </c>
      <c r="C67" t="s">
        <v>1469</v>
      </c>
      <c r="D67" t="s">
        <v>2232</v>
      </c>
      <c r="E67" t="s">
        <v>2509</v>
      </c>
      <c r="F67" t="str">
        <f>HYPERLINK("https://vsd.vn/vi/ad/144354","Link")</f>
        <v>Link</v>
      </c>
    </row>
    <row r="68" spans="1:6" x14ac:dyDescent="0.25">
      <c r="A68" s="2">
        <v>44446.603715277779</v>
      </c>
      <c r="B68" t="s">
        <v>72</v>
      </c>
      <c r="C68" t="s">
        <v>1503</v>
      </c>
      <c r="D68" t="s">
        <v>2235</v>
      </c>
      <c r="E68" t="s">
        <v>2510</v>
      </c>
      <c r="F68" t="str">
        <f>HYPERLINK("https://vsd.vn/vi/ad/144350","Link")</f>
        <v>Link</v>
      </c>
    </row>
    <row r="69" spans="1:6" x14ac:dyDescent="0.25">
      <c r="A69" s="2">
        <v>44446.602638888893</v>
      </c>
      <c r="B69" t="s">
        <v>73</v>
      </c>
      <c r="C69" t="s">
        <v>1504</v>
      </c>
      <c r="D69" t="s">
        <v>2234</v>
      </c>
      <c r="E69" t="s">
        <v>2511</v>
      </c>
      <c r="F69" t="str">
        <f>HYPERLINK("https://vsd.vn/vi/ad/144349","Link")</f>
        <v>Link</v>
      </c>
    </row>
    <row r="70" spans="1:6" x14ac:dyDescent="0.25">
      <c r="A70" s="2">
        <v>44446.461076388892</v>
      </c>
      <c r="B70" t="s">
        <v>74</v>
      </c>
      <c r="C70" t="s">
        <v>1505</v>
      </c>
      <c r="D70" t="s">
        <v>2235</v>
      </c>
      <c r="F70" t="str">
        <f>HYPERLINK("https://vsd.vn/vi/ad/144343","Link")</f>
        <v>Link</v>
      </c>
    </row>
    <row r="71" spans="1:6" x14ac:dyDescent="0.25">
      <c r="A71" s="2">
        <v>44446.460821759261</v>
      </c>
      <c r="B71" t="s">
        <v>75</v>
      </c>
      <c r="C71" t="s">
        <v>1506</v>
      </c>
      <c r="D71" t="s">
        <v>2232</v>
      </c>
      <c r="E71" t="s">
        <v>2488</v>
      </c>
      <c r="F71" t="str">
        <f>HYPERLINK("https://vsd.vn/vi/ad/144344","Link")</f>
        <v>Link</v>
      </c>
    </row>
    <row r="72" spans="1:6" x14ac:dyDescent="0.25">
      <c r="A72" s="2">
        <v>44445.69358796296</v>
      </c>
      <c r="B72" t="s">
        <v>76</v>
      </c>
      <c r="C72" t="s">
        <v>1507</v>
      </c>
      <c r="D72" t="s">
        <v>2236</v>
      </c>
      <c r="E72" t="s">
        <v>2512</v>
      </c>
      <c r="F72" t="str">
        <f>HYPERLINK("https://vsd.vn/vi/ad/144335","Link")</f>
        <v>Link</v>
      </c>
    </row>
    <row r="73" spans="1:6" x14ac:dyDescent="0.25">
      <c r="A73" s="2">
        <v>44445.692789351851</v>
      </c>
      <c r="B73" t="s">
        <v>77</v>
      </c>
      <c r="C73" t="s">
        <v>1479</v>
      </c>
      <c r="D73" t="s">
        <v>2234</v>
      </c>
      <c r="E73" t="s">
        <v>2469</v>
      </c>
      <c r="F73" t="str">
        <f>HYPERLINK("https://vsd.vn/vi/ad/144334","Link")</f>
        <v>Link</v>
      </c>
    </row>
    <row r="74" spans="1:6" x14ac:dyDescent="0.25">
      <c r="A74" s="2">
        <v>44440.776458333326</v>
      </c>
      <c r="B74" t="s">
        <v>78</v>
      </c>
      <c r="F74" t="str">
        <f>HYPERLINK("https://vsd.vn/vi/ad/144300","Link")</f>
        <v>Link</v>
      </c>
    </row>
    <row r="75" spans="1:6" x14ac:dyDescent="0.25">
      <c r="A75" s="2">
        <v>44440.774618055562</v>
      </c>
      <c r="B75" t="s">
        <v>79</v>
      </c>
      <c r="C75" t="s">
        <v>1477</v>
      </c>
      <c r="D75" t="s">
        <v>2231</v>
      </c>
      <c r="E75" t="s">
        <v>2513</v>
      </c>
      <c r="F75" t="str">
        <f>HYPERLINK("https://vsd.vn/vi/ad/144298","Link")</f>
        <v>Link</v>
      </c>
    </row>
    <row r="76" spans="1:6" x14ac:dyDescent="0.25">
      <c r="A76" s="2">
        <v>44440.766770833332</v>
      </c>
      <c r="B76" t="s">
        <v>80</v>
      </c>
      <c r="C76" t="s">
        <v>1508</v>
      </c>
      <c r="D76" t="s">
        <v>2218</v>
      </c>
      <c r="E76" t="s">
        <v>2473</v>
      </c>
      <c r="F76" t="str">
        <f>HYPERLINK("https://vsd.vn/vi/ad/144295","Link")</f>
        <v>Link</v>
      </c>
    </row>
    <row r="77" spans="1:6" x14ac:dyDescent="0.25">
      <c r="A77" s="2">
        <v>44440.751539351862</v>
      </c>
      <c r="B77" t="s">
        <v>81</v>
      </c>
      <c r="D77" t="s">
        <v>2237</v>
      </c>
      <c r="F77" t="str">
        <f>HYPERLINK("https://vsd.vn/vi/ad/144289","Link")</f>
        <v>Link</v>
      </c>
    </row>
    <row r="78" spans="1:6" x14ac:dyDescent="0.25">
      <c r="A78" s="2">
        <v>44440.74423611111</v>
      </c>
      <c r="B78" t="s">
        <v>82</v>
      </c>
      <c r="C78" t="s">
        <v>1509</v>
      </c>
      <c r="D78" t="s">
        <v>2232</v>
      </c>
      <c r="E78" t="s">
        <v>2514</v>
      </c>
      <c r="F78" t="str">
        <f>HYPERLINK("https://vsd.vn/vi/ad/144290","Link")</f>
        <v>Link</v>
      </c>
    </row>
    <row r="79" spans="1:6" x14ac:dyDescent="0.25">
      <c r="A79" s="2">
        <v>44440.725439814807</v>
      </c>
      <c r="B79" t="s">
        <v>83</v>
      </c>
      <c r="C79" t="s">
        <v>1510</v>
      </c>
      <c r="D79" t="s">
        <v>2235</v>
      </c>
      <c r="F79" t="str">
        <f>HYPERLINK("https://vsd.vn/vi/ad/144282","Link")</f>
        <v>Link</v>
      </c>
    </row>
    <row r="80" spans="1:6" x14ac:dyDescent="0.25">
      <c r="A80" s="2">
        <v>44440.721701388888</v>
      </c>
      <c r="B80" t="s">
        <v>84</v>
      </c>
      <c r="C80" t="s">
        <v>1511</v>
      </c>
      <c r="D80" t="s">
        <v>2235</v>
      </c>
      <c r="E80" t="s">
        <v>2495</v>
      </c>
      <c r="F80" t="str">
        <f>HYPERLINK("https://vsd.vn/vi/ad/144281","Link")</f>
        <v>Link</v>
      </c>
    </row>
    <row r="81" spans="1:6" x14ac:dyDescent="0.25">
      <c r="A81" s="2">
        <v>44440.632754629631</v>
      </c>
      <c r="B81" t="s">
        <v>85</v>
      </c>
      <c r="C81" t="s">
        <v>1512</v>
      </c>
      <c r="D81" t="s">
        <v>2238</v>
      </c>
      <c r="E81" t="s">
        <v>2515</v>
      </c>
      <c r="F81" t="str">
        <f>HYPERLINK("https://vsd.vn/vi/ad/144271","Link")</f>
        <v>Link</v>
      </c>
    </row>
    <row r="82" spans="1:6" x14ac:dyDescent="0.25">
      <c r="A82" s="2">
        <v>44440.414097222223</v>
      </c>
      <c r="B82" t="s">
        <v>86</v>
      </c>
      <c r="C82" t="s">
        <v>1513</v>
      </c>
      <c r="D82" t="s">
        <v>2238</v>
      </c>
      <c r="F82" t="str">
        <f>HYPERLINK("https://vsd.vn/vi/ad/144264","Link")</f>
        <v>Link</v>
      </c>
    </row>
    <row r="83" spans="1:6" x14ac:dyDescent="0.25">
      <c r="A83" s="2">
        <v>44440.412627314807</v>
      </c>
      <c r="B83" t="s">
        <v>87</v>
      </c>
      <c r="C83" t="s">
        <v>1514</v>
      </c>
      <c r="D83" t="s">
        <v>2231</v>
      </c>
      <c r="E83" t="s">
        <v>2516</v>
      </c>
      <c r="F83" t="str">
        <f>HYPERLINK("https://vsd.vn/vi/ad/144262","Link")</f>
        <v>Link</v>
      </c>
    </row>
    <row r="84" spans="1:6" x14ac:dyDescent="0.25">
      <c r="A84" s="2">
        <v>44439.693506944437</v>
      </c>
      <c r="B84" t="s">
        <v>88</v>
      </c>
      <c r="C84" t="s">
        <v>1515</v>
      </c>
      <c r="D84" t="s">
        <v>2235</v>
      </c>
      <c r="E84" t="s">
        <v>2517</v>
      </c>
      <c r="F84" t="str">
        <f>HYPERLINK("https://vsd.vn/vi/ad/144252","Link")</f>
        <v>Link</v>
      </c>
    </row>
    <row r="85" spans="1:6" x14ac:dyDescent="0.25">
      <c r="A85" s="2">
        <v>44439.618287037039</v>
      </c>
      <c r="B85" t="s">
        <v>89</v>
      </c>
      <c r="C85" t="s">
        <v>1516</v>
      </c>
      <c r="D85" t="s">
        <v>2235</v>
      </c>
      <c r="F85" t="str">
        <f>HYPERLINK("https://vsd.vn/vi/ad/144246","Link")</f>
        <v>Link</v>
      </c>
    </row>
    <row r="86" spans="1:6" x14ac:dyDescent="0.25">
      <c r="A86" s="2">
        <v>44439.617638888893</v>
      </c>
      <c r="B86" t="s">
        <v>90</v>
      </c>
      <c r="C86" t="s">
        <v>1517</v>
      </c>
      <c r="D86" t="s">
        <v>2235</v>
      </c>
      <c r="E86" t="s">
        <v>2491</v>
      </c>
      <c r="F86" t="str">
        <f>HYPERLINK("https://vsd.vn/vi/ad/144237","Link")</f>
        <v>Link</v>
      </c>
    </row>
    <row r="87" spans="1:6" x14ac:dyDescent="0.25">
      <c r="A87" s="2">
        <v>44439.587060185193</v>
      </c>
      <c r="B87" t="s">
        <v>91</v>
      </c>
      <c r="C87" t="s">
        <v>1518</v>
      </c>
      <c r="D87" t="s">
        <v>2239</v>
      </c>
      <c r="F87" t="str">
        <f>HYPERLINK("https://vsd.vn/vi/ad/144238","Link")</f>
        <v>Link</v>
      </c>
    </row>
    <row r="88" spans="1:6" x14ac:dyDescent="0.25">
      <c r="A88" s="2">
        <v>44439.585520833331</v>
      </c>
      <c r="B88" t="s">
        <v>92</v>
      </c>
      <c r="C88" t="s">
        <v>1519</v>
      </c>
      <c r="D88" t="s">
        <v>2235</v>
      </c>
      <c r="E88" t="s">
        <v>2518</v>
      </c>
      <c r="F88" t="str">
        <f>HYPERLINK("https://vsd.vn/vi/ad/144240","Link")</f>
        <v>Link</v>
      </c>
    </row>
    <row r="89" spans="1:6" x14ac:dyDescent="0.25">
      <c r="A89" s="2">
        <v>44439.582141203697</v>
      </c>
      <c r="B89" t="s">
        <v>93</v>
      </c>
      <c r="C89" t="s">
        <v>1520</v>
      </c>
      <c r="D89" t="s">
        <v>2236</v>
      </c>
      <c r="E89" t="s">
        <v>2519</v>
      </c>
      <c r="F89" t="str">
        <f>HYPERLINK("https://vsd.vn/vi/ad/144244","Link")</f>
        <v>Link</v>
      </c>
    </row>
    <row r="90" spans="1:6" x14ac:dyDescent="0.25">
      <c r="A90" s="2">
        <v>44439.58116898148</v>
      </c>
      <c r="B90" t="s">
        <v>94</v>
      </c>
      <c r="C90" t="s">
        <v>1467</v>
      </c>
      <c r="D90" t="s">
        <v>2232</v>
      </c>
      <c r="E90" t="s">
        <v>2473</v>
      </c>
      <c r="F90" t="str">
        <f>HYPERLINK("https://vsd.vn/vi/ad/144245","Link")</f>
        <v>Link</v>
      </c>
    </row>
    <row r="91" spans="1:6" x14ac:dyDescent="0.25">
      <c r="A91" s="2">
        <v>44439.392129629632</v>
      </c>
      <c r="B91" t="s">
        <v>95</v>
      </c>
      <c r="C91" t="s">
        <v>1521</v>
      </c>
      <c r="D91" t="s">
        <v>2235</v>
      </c>
      <c r="E91" t="s">
        <v>2520</v>
      </c>
      <c r="F91" t="str">
        <f>HYPERLINK("https://vsd.vn/vi/ad/144232","Link")</f>
        <v>Link</v>
      </c>
    </row>
    <row r="92" spans="1:6" x14ac:dyDescent="0.25">
      <c r="A92" s="2">
        <v>44439.39166666667</v>
      </c>
      <c r="B92" t="s">
        <v>96</v>
      </c>
      <c r="C92" t="s">
        <v>1522</v>
      </c>
      <c r="D92" t="s">
        <v>2235</v>
      </c>
      <c r="E92" t="s">
        <v>2521</v>
      </c>
      <c r="F92" t="str">
        <f>HYPERLINK("https://vsd.vn/vi/ad/144234","Link")</f>
        <v>Link</v>
      </c>
    </row>
    <row r="93" spans="1:6" x14ac:dyDescent="0.25">
      <c r="A93" s="2">
        <v>44435.729259259257</v>
      </c>
      <c r="B93" t="s">
        <v>97</v>
      </c>
      <c r="C93" t="s">
        <v>1494</v>
      </c>
      <c r="D93" t="s">
        <v>2240</v>
      </c>
      <c r="E93" t="s">
        <v>2488</v>
      </c>
      <c r="F93" t="str">
        <f>HYPERLINK("https://vsd.vn/vi/ad/144223","Link")</f>
        <v>Link</v>
      </c>
    </row>
    <row r="94" spans="1:6" x14ac:dyDescent="0.25">
      <c r="A94" s="2">
        <v>44435.704675925917</v>
      </c>
      <c r="B94" t="s">
        <v>98</v>
      </c>
      <c r="C94" t="s">
        <v>1523</v>
      </c>
      <c r="D94" t="s">
        <v>2238</v>
      </c>
      <c r="E94" t="s">
        <v>2522</v>
      </c>
      <c r="F94" t="str">
        <f>HYPERLINK("https://vsd.vn/vi/ad/144218","Link")</f>
        <v>Link</v>
      </c>
    </row>
    <row r="95" spans="1:6" x14ac:dyDescent="0.25">
      <c r="A95" s="2">
        <v>44435.685358796298</v>
      </c>
      <c r="B95" t="s">
        <v>99</v>
      </c>
      <c r="C95" t="s">
        <v>1488</v>
      </c>
      <c r="D95" t="s">
        <v>2238</v>
      </c>
      <c r="E95" t="s">
        <v>2523</v>
      </c>
      <c r="F95" t="str">
        <f>HYPERLINK("https://vsd.vn/vi/ad/144214","Link")</f>
        <v>Link</v>
      </c>
    </row>
    <row r="96" spans="1:6" x14ac:dyDescent="0.25">
      <c r="A96" s="2">
        <v>44435.683576388888</v>
      </c>
      <c r="B96" t="s">
        <v>100</v>
      </c>
      <c r="F96" t="str">
        <f>HYPERLINK("https://vsd.vn/vi/ad/144213","Link")</f>
        <v>Link</v>
      </c>
    </row>
    <row r="97" spans="1:6" x14ac:dyDescent="0.25">
      <c r="A97" s="2">
        <v>44435.468368055554</v>
      </c>
      <c r="B97" t="s">
        <v>101</v>
      </c>
      <c r="F97" t="str">
        <f>HYPERLINK("https://vsd.vn/vi/ad/144197","Link")</f>
        <v>Link</v>
      </c>
    </row>
    <row r="98" spans="1:6" x14ac:dyDescent="0.25">
      <c r="A98" s="2">
        <v>44435.468217592592</v>
      </c>
      <c r="B98" t="s">
        <v>102</v>
      </c>
      <c r="F98" t="str">
        <f>HYPERLINK("https://vsd.vn/vi/ad/144198","Link")</f>
        <v>Link</v>
      </c>
    </row>
    <row r="99" spans="1:6" x14ac:dyDescent="0.25">
      <c r="A99" s="2">
        <v>44435.467997685177</v>
      </c>
      <c r="B99" t="s">
        <v>103</v>
      </c>
      <c r="F99" t="str">
        <f>HYPERLINK("https://vsd.vn/vi/ad/144199","Link")</f>
        <v>Link</v>
      </c>
    </row>
    <row r="100" spans="1:6" x14ac:dyDescent="0.25">
      <c r="A100" s="2">
        <v>44435.467766203707</v>
      </c>
      <c r="B100" t="s">
        <v>104</v>
      </c>
      <c r="F100" t="str">
        <f>HYPERLINK("https://vsd.vn/vi/ad/144200","Link")</f>
        <v>Link</v>
      </c>
    </row>
    <row r="101" spans="1:6" x14ac:dyDescent="0.25">
      <c r="A101" s="2">
        <v>44435.467638888891</v>
      </c>
      <c r="B101" t="s">
        <v>105</v>
      </c>
      <c r="F101" t="str">
        <f>HYPERLINK("https://vsd.vn/vi/ad/144201","Link")</f>
        <v>Link</v>
      </c>
    </row>
    <row r="102" spans="1:6" x14ac:dyDescent="0.25">
      <c r="A102" s="2">
        <v>44435.467326388891</v>
      </c>
      <c r="B102" t="s">
        <v>106</v>
      </c>
      <c r="F102" t="str">
        <f>HYPERLINK("https://vsd.vn/vi/ad/144202","Link")</f>
        <v>Link</v>
      </c>
    </row>
    <row r="103" spans="1:6" x14ac:dyDescent="0.25">
      <c r="A103" s="2">
        <v>44435.461712962962</v>
      </c>
      <c r="B103" t="s">
        <v>107</v>
      </c>
      <c r="F103" t="str">
        <f>HYPERLINK("https://vsd.vn/vi/ad/144196","Link")</f>
        <v>Link</v>
      </c>
    </row>
    <row r="104" spans="1:6" x14ac:dyDescent="0.25">
      <c r="A104" s="2">
        <v>44435.461412037039</v>
      </c>
      <c r="B104" t="s">
        <v>108</v>
      </c>
      <c r="F104" t="str">
        <f>HYPERLINK("https://vsd.vn/vi/ad/144195","Link")</f>
        <v>Link</v>
      </c>
    </row>
    <row r="105" spans="1:6" x14ac:dyDescent="0.25">
      <c r="A105" s="2">
        <v>44435.461238425924</v>
      </c>
      <c r="B105" t="s">
        <v>109</v>
      </c>
      <c r="F105" t="str">
        <f>HYPERLINK("https://vsd.vn/vi/ad/144194","Link")</f>
        <v>Link</v>
      </c>
    </row>
    <row r="106" spans="1:6" x14ac:dyDescent="0.25">
      <c r="A106" s="2">
        <v>44435.461018518523</v>
      </c>
      <c r="B106" t="s">
        <v>110</v>
      </c>
      <c r="F106" t="str">
        <f>HYPERLINK("https://vsd.vn/vi/ad/144193","Link")</f>
        <v>Link</v>
      </c>
    </row>
    <row r="107" spans="1:6" x14ac:dyDescent="0.25">
      <c r="A107" s="2">
        <v>44434.711493055547</v>
      </c>
      <c r="B107" t="s">
        <v>111</v>
      </c>
      <c r="C107" t="s">
        <v>1484</v>
      </c>
      <c r="D107" t="s">
        <v>2239</v>
      </c>
      <c r="E107" t="s">
        <v>2512</v>
      </c>
      <c r="F107" t="str">
        <f>HYPERLINK("https://vsd.vn/vi/ad/144173","Link")</f>
        <v>Link</v>
      </c>
    </row>
    <row r="108" spans="1:6" x14ac:dyDescent="0.25">
      <c r="A108" s="2">
        <v>44434.704768518517</v>
      </c>
      <c r="B108" t="s">
        <v>112</v>
      </c>
      <c r="C108" t="s">
        <v>1524</v>
      </c>
      <c r="D108" t="s">
        <v>2235</v>
      </c>
      <c r="E108" t="s">
        <v>2524</v>
      </c>
      <c r="F108" t="str">
        <f>HYPERLINK("https://vsd.vn/vi/ad/144152","Link")</f>
        <v>Link</v>
      </c>
    </row>
    <row r="109" spans="1:6" x14ac:dyDescent="0.25">
      <c r="A109" s="2">
        <v>44434.68990740741</v>
      </c>
      <c r="B109" t="s">
        <v>113</v>
      </c>
      <c r="F109" t="str">
        <f>HYPERLINK("https://vsd.vn/vi/ad/144153","Link")</f>
        <v>Link</v>
      </c>
    </row>
    <row r="110" spans="1:6" x14ac:dyDescent="0.25">
      <c r="A110" s="2">
        <v>44434.689618055563</v>
      </c>
      <c r="B110" t="s">
        <v>114</v>
      </c>
      <c r="F110" t="str">
        <f>HYPERLINK("https://vsd.vn/vi/ad/144154","Link")</f>
        <v>Link</v>
      </c>
    </row>
    <row r="111" spans="1:6" x14ac:dyDescent="0.25">
      <c r="A111" s="2">
        <v>44434.470324074071</v>
      </c>
      <c r="B111" t="s">
        <v>115</v>
      </c>
      <c r="F111" t="str">
        <f>HYPERLINK("https://vsd.vn/vi/ad/144151","Link")</f>
        <v>Link</v>
      </c>
    </row>
    <row r="112" spans="1:6" x14ac:dyDescent="0.25">
      <c r="A112" s="2">
        <v>44434.467534722222</v>
      </c>
      <c r="B112" t="s">
        <v>116</v>
      </c>
      <c r="F112" t="str">
        <f>HYPERLINK("https://vsd.vn/vi/ad/144148","Link")</f>
        <v>Link</v>
      </c>
    </row>
    <row r="113" spans="1:6" x14ac:dyDescent="0.25">
      <c r="A113" s="2">
        <v>44434.46738425926</v>
      </c>
      <c r="B113" t="s">
        <v>117</v>
      </c>
      <c r="F113" t="str">
        <f>HYPERLINK("https://vsd.vn/vi/ad/144149","Link")</f>
        <v>Link</v>
      </c>
    </row>
    <row r="114" spans="1:6" x14ac:dyDescent="0.25">
      <c r="A114" s="2">
        <v>44434.467106481483</v>
      </c>
      <c r="B114" t="s">
        <v>118</v>
      </c>
      <c r="F114" t="str">
        <f>HYPERLINK("https://vsd.vn/vi/ad/144150","Link")</f>
        <v>Link</v>
      </c>
    </row>
    <row r="115" spans="1:6" x14ac:dyDescent="0.25">
      <c r="A115" s="2">
        <v>44434.450092592589</v>
      </c>
      <c r="B115" t="s">
        <v>119</v>
      </c>
      <c r="F115" t="str">
        <f>HYPERLINK("https://vsd.vn/vi/ad/144145","Link")</f>
        <v>Link</v>
      </c>
    </row>
    <row r="116" spans="1:6" x14ac:dyDescent="0.25">
      <c r="A116" s="2">
        <v>44434.449907407397</v>
      </c>
      <c r="B116" t="s">
        <v>120</v>
      </c>
      <c r="F116" t="str">
        <f>HYPERLINK("https://vsd.vn/vi/ad/144146","Link")</f>
        <v>Link</v>
      </c>
    </row>
    <row r="117" spans="1:6" x14ac:dyDescent="0.25">
      <c r="A117" s="2">
        <v>44434.37394675926</v>
      </c>
      <c r="B117" t="s">
        <v>121</v>
      </c>
      <c r="C117" t="s">
        <v>1525</v>
      </c>
      <c r="D117" t="s">
        <v>2239</v>
      </c>
      <c r="E117" t="s">
        <v>2525</v>
      </c>
      <c r="F117" t="str">
        <f>HYPERLINK("https://vsd.vn/vi/ad/144137","Link")</f>
        <v>Link</v>
      </c>
    </row>
    <row r="118" spans="1:6" x14ac:dyDescent="0.25">
      <c r="A118" s="2">
        <v>44433.715682870366</v>
      </c>
      <c r="B118" t="s">
        <v>122</v>
      </c>
      <c r="C118" t="s">
        <v>1526</v>
      </c>
      <c r="D118" t="s">
        <v>2239</v>
      </c>
      <c r="E118" t="s">
        <v>2526</v>
      </c>
      <c r="F118" t="str">
        <f>HYPERLINK("https://vsd.vn/vi/ad/144136","Link")</f>
        <v>Link</v>
      </c>
    </row>
    <row r="119" spans="1:6" x14ac:dyDescent="0.25">
      <c r="A119" s="2">
        <v>44433.650520833333</v>
      </c>
      <c r="B119" t="s">
        <v>123</v>
      </c>
      <c r="C119" t="s">
        <v>1527</v>
      </c>
      <c r="D119" t="s">
        <v>2231</v>
      </c>
      <c r="E119" t="s">
        <v>2502</v>
      </c>
      <c r="F119" t="str">
        <f>HYPERLINK("https://vsd.vn/vi/ad/144102","Link")</f>
        <v>Link</v>
      </c>
    </row>
    <row r="120" spans="1:6" x14ac:dyDescent="0.25">
      <c r="A120" s="2">
        <v>44433.632453703707</v>
      </c>
      <c r="B120" t="s">
        <v>124</v>
      </c>
      <c r="C120" t="s">
        <v>1522</v>
      </c>
      <c r="D120" t="s">
        <v>2239</v>
      </c>
      <c r="E120" t="s">
        <v>2527</v>
      </c>
      <c r="F120" t="str">
        <f>HYPERLINK("https://vsd.vn/vi/ad/144124","Link")</f>
        <v>Link</v>
      </c>
    </row>
    <row r="121" spans="1:6" x14ac:dyDescent="0.25">
      <c r="A121" s="2">
        <v>44433.630856481483</v>
      </c>
      <c r="B121" t="s">
        <v>125</v>
      </c>
      <c r="C121" t="s">
        <v>1528</v>
      </c>
      <c r="D121" t="s">
        <v>2241</v>
      </c>
      <c r="F121" t="str">
        <f>HYPERLINK("https://vsd.vn/vi/ad/144122","Link")</f>
        <v>Link</v>
      </c>
    </row>
    <row r="122" spans="1:6" x14ac:dyDescent="0.25">
      <c r="A122" s="2">
        <v>44433.416354166657</v>
      </c>
      <c r="B122" t="s">
        <v>126</v>
      </c>
      <c r="C122" t="s">
        <v>1529</v>
      </c>
      <c r="D122" t="s">
        <v>2242</v>
      </c>
      <c r="F122" t="str">
        <f>HYPERLINK("https://vsd.vn/vi/ad/144119","Link")</f>
        <v>Link</v>
      </c>
    </row>
    <row r="123" spans="1:6" x14ac:dyDescent="0.25">
      <c r="A123" s="2">
        <v>44432.711319444446</v>
      </c>
      <c r="B123" t="s">
        <v>127</v>
      </c>
      <c r="C123" t="s">
        <v>1530</v>
      </c>
      <c r="D123" t="s">
        <v>2235</v>
      </c>
      <c r="E123" t="s">
        <v>2528</v>
      </c>
      <c r="F123" t="str">
        <f>HYPERLINK("https://vsd.vn/vi/ad/144106","Link")</f>
        <v>Link</v>
      </c>
    </row>
    <row r="124" spans="1:6" x14ac:dyDescent="0.25">
      <c r="A124" s="2">
        <v>44432.710821759261</v>
      </c>
      <c r="B124" t="s">
        <v>128</v>
      </c>
      <c r="C124" t="s">
        <v>1471</v>
      </c>
      <c r="D124" t="s">
        <v>2232</v>
      </c>
      <c r="E124" t="s">
        <v>2529</v>
      </c>
      <c r="F124" t="str">
        <f>HYPERLINK("https://vsd.vn/vi/ad/144104","Link")</f>
        <v>Link</v>
      </c>
    </row>
    <row r="125" spans="1:6" x14ac:dyDescent="0.25">
      <c r="A125" s="2">
        <v>44432.475706018522</v>
      </c>
      <c r="B125" t="s">
        <v>129</v>
      </c>
      <c r="C125" t="s">
        <v>1531</v>
      </c>
      <c r="D125" t="s">
        <v>2240</v>
      </c>
      <c r="F125" t="str">
        <f>HYPERLINK("https://vsd.vn/vi/ad/144091","Link")</f>
        <v>Link</v>
      </c>
    </row>
    <row r="126" spans="1:6" x14ac:dyDescent="0.25">
      <c r="A126" s="2">
        <v>44432.381666666668</v>
      </c>
      <c r="B126" t="s">
        <v>130</v>
      </c>
      <c r="C126" t="s">
        <v>1532</v>
      </c>
      <c r="D126" t="s">
        <v>2225</v>
      </c>
      <c r="E126" t="s">
        <v>2469</v>
      </c>
      <c r="F126" t="str">
        <f>HYPERLINK("https://vsd.vn/vi/ad/144073","Link")</f>
        <v>Link</v>
      </c>
    </row>
    <row r="127" spans="1:6" x14ac:dyDescent="0.25">
      <c r="A127" s="2">
        <v>44431.769363425927</v>
      </c>
      <c r="B127" t="s">
        <v>131</v>
      </c>
      <c r="C127" t="s">
        <v>1533</v>
      </c>
      <c r="D127" t="s">
        <v>2243</v>
      </c>
      <c r="E127" t="s">
        <v>2528</v>
      </c>
      <c r="F127" t="str">
        <f>HYPERLINK("https://vsd.vn/vi/ad/144074","Link")</f>
        <v>Link</v>
      </c>
    </row>
    <row r="128" spans="1:6" x14ac:dyDescent="0.25">
      <c r="A128" s="2">
        <v>44428.726620370369</v>
      </c>
      <c r="B128" t="s">
        <v>132</v>
      </c>
      <c r="C128" t="s">
        <v>1534</v>
      </c>
      <c r="D128" t="s">
        <v>2241</v>
      </c>
      <c r="F128" t="str">
        <f>HYPERLINK("https://vsd.vn/vi/ad/144045","Link")</f>
        <v>Link</v>
      </c>
    </row>
    <row r="129" spans="1:6" x14ac:dyDescent="0.25">
      <c r="A129" s="2">
        <v>44428.717256944437</v>
      </c>
      <c r="B129" t="s">
        <v>133</v>
      </c>
      <c r="C129" t="s">
        <v>1535</v>
      </c>
      <c r="D129" t="s">
        <v>2244</v>
      </c>
      <c r="F129" t="str">
        <f>HYPERLINK("https://vsd.vn/vi/ad/144020","Link")</f>
        <v>Link</v>
      </c>
    </row>
    <row r="130" spans="1:6" x14ac:dyDescent="0.25">
      <c r="A130" s="2">
        <v>44428.62909722222</v>
      </c>
      <c r="B130" t="s">
        <v>134</v>
      </c>
      <c r="C130" t="s">
        <v>1536</v>
      </c>
      <c r="D130" t="s">
        <v>2243</v>
      </c>
      <c r="F130" t="str">
        <f>HYPERLINK("https://vsd.vn/vi/ad/144033","Link")</f>
        <v>Link</v>
      </c>
    </row>
    <row r="131" spans="1:6" x14ac:dyDescent="0.25">
      <c r="A131" s="2">
        <v>44428.587523148148</v>
      </c>
      <c r="B131" t="s">
        <v>135</v>
      </c>
      <c r="F131" t="str">
        <f>HYPERLINK("https://vsd.vn/vi/ad/144029","Link")</f>
        <v>Link</v>
      </c>
    </row>
    <row r="132" spans="1:6" x14ac:dyDescent="0.25">
      <c r="A132" s="2">
        <v>44428.364675925928</v>
      </c>
      <c r="B132" t="s">
        <v>136</v>
      </c>
      <c r="F132" t="str">
        <f>HYPERLINK("https://vsd.vn/vi/ad/144026","Link")</f>
        <v>Link</v>
      </c>
    </row>
    <row r="133" spans="1:6" x14ac:dyDescent="0.25">
      <c r="A133" s="2">
        <v>44427.736631944441</v>
      </c>
      <c r="B133" t="s">
        <v>137</v>
      </c>
      <c r="C133" t="s">
        <v>1537</v>
      </c>
      <c r="D133" t="s">
        <v>2243</v>
      </c>
      <c r="E133" t="s">
        <v>2495</v>
      </c>
      <c r="F133" t="str">
        <f>HYPERLINK("https://vsd.vn/vi/ad/144019","Link")</f>
        <v>Link</v>
      </c>
    </row>
    <row r="134" spans="1:6" x14ac:dyDescent="0.25">
      <c r="A134" s="2">
        <v>44427.72420138889</v>
      </c>
      <c r="B134" t="s">
        <v>138</v>
      </c>
      <c r="C134" t="s">
        <v>1538</v>
      </c>
      <c r="D134" t="s">
        <v>2245</v>
      </c>
      <c r="F134" t="str">
        <f>HYPERLINK("https://vsd.vn/vi/ad/144014","Link")</f>
        <v>Link</v>
      </c>
    </row>
    <row r="135" spans="1:6" x14ac:dyDescent="0.25">
      <c r="A135" s="2">
        <v>44427.72252314815</v>
      </c>
      <c r="B135" t="s">
        <v>139</v>
      </c>
      <c r="C135" t="s">
        <v>1520</v>
      </c>
      <c r="D135" t="s">
        <v>2243</v>
      </c>
      <c r="E135" t="s">
        <v>2530</v>
      </c>
      <c r="F135" t="str">
        <f>HYPERLINK("https://vsd.vn/vi/ad/144015","Link")</f>
        <v>Link</v>
      </c>
    </row>
    <row r="136" spans="1:6" x14ac:dyDescent="0.25">
      <c r="A136" s="2">
        <v>44427.722129629627</v>
      </c>
      <c r="B136" t="s">
        <v>140</v>
      </c>
      <c r="C136" t="s">
        <v>1539</v>
      </c>
      <c r="D136" t="s">
        <v>2246</v>
      </c>
      <c r="E136" t="s">
        <v>2531</v>
      </c>
      <c r="F136" t="str">
        <f>HYPERLINK("https://vsd.vn/vi/ad/144018","Link")</f>
        <v>Link</v>
      </c>
    </row>
    <row r="137" spans="1:6" x14ac:dyDescent="0.25">
      <c r="A137" s="2">
        <v>44426.625567129631</v>
      </c>
      <c r="B137" t="s">
        <v>141</v>
      </c>
      <c r="C137" t="s">
        <v>1540</v>
      </c>
      <c r="D137" t="s">
        <v>2243</v>
      </c>
      <c r="E137" t="s">
        <v>2475</v>
      </c>
      <c r="F137" t="str">
        <f>HYPERLINK("https://vsd.vn/vi/ad/143996","Link")</f>
        <v>Link</v>
      </c>
    </row>
    <row r="138" spans="1:6" x14ac:dyDescent="0.25">
      <c r="A138" s="2">
        <v>44426.624942129631</v>
      </c>
      <c r="B138" t="s">
        <v>142</v>
      </c>
      <c r="C138" t="s">
        <v>1541</v>
      </c>
      <c r="D138" t="s">
        <v>2247</v>
      </c>
      <c r="F138" t="str">
        <f>HYPERLINK("https://vsd.vn/vi/ad/143997","Link")</f>
        <v>Link</v>
      </c>
    </row>
    <row r="139" spans="1:6" x14ac:dyDescent="0.25">
      <c r="A139" s="2">
        <v>44426.474953703713</v>
      </c>
      <c r="B139" t="s">
        <v>143</v>
      </c>
      <c r="C139" t="s">
        <v>1542</v>
      </c>
      <c r="D139" t="s">
        <v>2247</v>
      </c>
      <c r="E139" t="s">
        <v>2532</v>
      </c>
      <c r="F139" t="str">
        <f>HYPERLINK("https://vsd.vn/vi/ad/143992","Link")</f>
        <v>Link</v>
      </c>
    </row>
    <row r="140" spans="1:6" x14ac:dyDescent="0.25">
      <c r="A140" s="2">
        <v>44426.40488425926</v>
      </c>
      <c r="B140" t="s">
        <v>144</v>
      </c>
      <c r="C140" t="s">
        <v>1543</v>
      </c>
      <c r="D140" t="s">
        <v>2242</v>
      </c>
      <c r="F140" t="str">
        <f>HYPERLINK("https://vsd.vn/vi/ad/143960","Link")</f>
        <v>Link</v>
      </c>
    </row>
    <row r="141" spans="1:6" x14ac:dyDescent="0.25">
      <c r="A141" s="2">
        <v>44425.684328703697</v>
      </c>
      <c r="B141" t="s">
        <v>145</v>
      </c>
      <c r="C141" t="s">
        <v>1544</v>
      </c>
      <c r="D141" t="s">
        <v>2239</v>
      </c>
      <c r="E141" t="s">
        <v>2528</v>
      </c>
      <c r="F141" t="str">
        <f>HYPERLINK("https://vsd.vn/vi/ad/143959","Link")</f>
        <v>Link</v>
      </c>
    </row>
    <row r="142" spans="1:6" x14ac:dyDescent="0.25">
      <c r="A142" s="2">
        <v>44425.64671296296</v>
      </c>
      <c r="B142" t="s">
        <v>146</v>
      </c>
      <c r="C142" t="s">
        <v>1488</v>
      </c>
      <c r="D142" t="s">
        <v>2243</v>
      </c>
      <c r="E142" t="s">
        <v>2528</v>
      </c>
      <c r="F142" t="str">
        <f>HYPERLINK("https://vsd.vn/vi/ad/143972","Link")</f>
        <v>Link</v>
      </c>
    </row>
    <row r="143" spans="1:6" x14ac:dyDescent="0.25">
      <c r="A143" s="2">
        <v>44425.640219907407</v>
      </c>
      <c r="B143" t="s">
        <v>147</v>
      </c>
      <c r="C143" t="s">
        <v>1545</v>
      </c>
      <c r="D143" t="s">
        <v>2248</v>
      </c>
      <c r="E143" t="s">
        <v>2533</v>
      </c>
      <c r="F143" t="str">
        <f>HYPERLINK("https://vsd.vn/vi/ad/143967","Link")</f>
        <v>Link</v>
      </c>
    </row>
    <row r="144" spans="1:6" x14ac:dyDescent="0.25">
      <c r="A144" s="2">
        <v>44425.623692129629</v>
      </c>
      <c r="B144" t="s">
        <v>148</v>
      </c>
      <c r="C144" t="s">
        <v>1546</v>
      </c>
      <c r="D144" t="s">
        <v>2245</v>
      </c>
      <c r="E144" t="s">
        <v>2534</v>
      </c>
      <c r="F144" t="str">
        <f>HYPERLINK("https://vsd.vn/vi/ad/143977","Link")</f>
        <v>Link</v>
      </c>
    </row>
    <row r="145" spans="1:6" x14ac:dyDescent="0.25">
      <c r="A145" s="2">
        <v>44425.623113425929</v>
      </c>
      <c r="B145" t="s">
        <v>149</v>
      </c>
      <c r="C145" t="s">
        <v>1547</v>
      </c>
      <c r="D145" t="s">
        <v>2245</v>
      </c>
      <c r="E145" t="s">
        <v>2491</v>
      </c>
      <c r="F145" t="str">
        <f>HYPERLINK("https://vsd.vn/vi/ad/143978","Link")</f>
        <v>Link</v>
      </c>
    </row>
    <row r="146" spans="1:6" x14ac:dyDescent="0.25">
      <c r="A146" s="2">
        <v>44425.622488425928</v>
      </c>
      <c r="B146" t="s">
        <v>150</v>
      </c>
      <c r="C146" t="s">
        <v>1548</v>
      </c>
      <c r="D146" t="s">
        <v>2245</v>
      </c>
      <c r="E146" t="s">
        <v>2525</v>
      </c>
      <c r="F146" t="str">
        <f>HYPERLINK("https://vsd.vn/vi/ad/143979","Link")</f>
        <v>Link</v>
      </c>
    </row>
    <row r="147" spans="1:6" x14ac:dyDescent="0.25">
      <c r="A147" s="2">
        <v>44425.435659722221</v>
      </c>
      <c r="B147" t="s">
        <v>151</v>
      </c>
      <c r="C147" t="s">
        <v>1549</v>
      </c>
      <c r="D147" t="s">
        <v>2249</v>
      </c>
      <c r="E147" t="s">
        <v>2535</v>
      </c>
      <c r="F147" t="str">
        <f>HYPERLINK("https://vsd.vn/vi/ad/143957","Link")</f>
        <v>Link</v>
      </c>
    </row>
    <row r="148" spans="1:6" x14ac:dyDescent="0.25">
      <c r="A148" s="2">
        <v>44425.353043981479</v>
      </c>
      <c r="B148" t="s">
        <v>152</v>
      </c>
      <c r="C148" t="s">
        <v>1484</v>
      </c>
      <c r="D148" t="s">
        <v>2250</v>
      </c>
      <c r="E148" t="s">
        <v>2536</v>
      </c>
      <c r="F148" t="str">
        <f>HYPERLINK("https://vsd.vn/vi/ad/143951","Link")</f>
        <v>Link</v>
      </c>
    </row>
    <row r="149" spans="1:6" x14ac:dyDescent="0.25">
      <c r="A149" s="2">
        <v>44425.352337962962</v>
      </c>
      <c r="B149" t="s">
        <v>153</v>
      </c>
      <c r="D149" t="s">
        <v>2248</v>
      </c>
      <c r="F149" t="str">
        <f>HYPERLINK("https://vsd.vn/vi/ad/143952","Link")</f>
        <v>Link</v>
      </c>
    </row>
    <row r="150" spans="1:6" x14ac:dyDescent="0.25">
      <c r="A150" s="2">
        <v>44424.709085648137</v>
      </c>
      <c r="B150" t="s">
        <v>154</v>
      </c>
      <c r="C150" t="s">
        <v>1550</v>
      </c>
      <c r="D150" t="s">
        <v>2250</v>
      </c>
      <c r="E150" t="s">
        <v>2537</v>
      </c>
      <c r="F150" t="str">
        <f>HYPERLINK("https://vsd.vn/vi/ad/143944","Link")</f>
        <v>Link</v>
      </c>
    </row>
    <row r="151" spans="1:6" x14ac:dyDescent="0.25">
      <c r="A151" s="2">
        <v>44424.610358796293</v>
      </c>
      <c r="B151" t="s">
        <v>155</v>
      </c>
      <c r="C151" t="s">
        <v>1545</v>
      </c>
      <c r="D151" t="s">
        <v>2249</v>
      </c>
      <c r="E151" t="s">
        <v>2538</v>
      </c>
      <c r="F151" t="str">
        <f>HYPERLINK("https://vsd.vn/vi/ad/143911","Link")</f>
        <v>Link</v>
      </c>
    </row>
    <row r="152" spans="1:6" x14ac:dyDescent="0.25">
      <c r="A152" s="2">
        <v>44424.583773148152</v>
      </c>
      <c r="B152" t="s">
        <v>156</v>
      </c>
      <c r="C152" t="s">
        <v>1551</v>
      </c>
      <c r="D152" t="s">
        <v>2247</v>
      </c>
      <c r="E152" t="s">
        <v>2538</v>
      </c>
      <c r="F152" t="str">
        <f>HYPERLINK("https://vsd.vn/vi/ad/143910","Link")</f>
        <v>Link</v>
      </c>
    </row>
    <row r="153" spans="1:6" x14ac:dyDescent="0.25">
      <c r="A153" s="2">
        <v>44424.57953703704</v>
      </c>
      <c r="B153" t="s">
        <v>157</v>
      </c>
      <c r="C153" t="s">
        <v>1552</v>
      </c>
      <c r="D153" t="s">
        <v>2240</v>
      </c>
      <c r="F153" t="str">
        <f>HYPERLINK("https://vsd.vn/vi/ad/143909","Link")</f>
        <v>Link</v>
      </c>
    </row>
    <row r="154" spans="1:6" x14ac:dyDescent="0.25">
      <c r="A154" s="2">
        <v>44421.699594907397</v>
      </c>
      <c r="B154" t="s">
        <v>158</v>
      </c>
      <c r="C154" t="s">
        <v>1553</v>
      </c>
      <c r="D154" t="s">
        <v>2251</v>
      </c>
      <c r="E154" t="s">
        <v>2528</v>
      </c>
      <c r="F154" t="str">
        <f>HYPERLINK("https://vsd.vn/vi/ad/143891","Link")</f>
        <v>Link</v>
      </c>
    </row>
    <row r="155" spans="1:6" x14ac:dyDescent="0.25">
      <c r="A155" s="2">
        <v>44421.698148148149</v>
      </c>
      <c r="B155" t="s">
        <v>159</v>
      </c>
      <c r="C155" t="s">
        <v>1554</v>
      </c>
      <c r="D155" t="s">
        <v>2251</v>
      </c>
      <c r="F155" t="str">
        <f>HYPERLINK("https://vsd.vn/vi/ad/143890","Link")</f>
        <v>Link</v>
      </c>
    </row>
    <row r="156" spans="1:6" x14ac:dyDescent="0.25">
      <c r="A156" s="2">
        <v>44421.634479166663</v>
      </c>
      <c r="B156" t="s">
        <v>160</v>
      </c>
      <c r="C156" t="s">
        <v>1492</v>
      </c>
      <c r="D156" t="s">
        <v>2241</v>
      </c>
      <c r="E156" t="s">
        <v>2539</v>
      </c>
      <c r="F156" t="str">
        <f>HYPERLINK("https://vsd.vn/vi/ad/143885","Link")</f>
        <v>Link</v>
      </c>
    </row>
    <row r="157" spans="1:6" x14ac:dyDescent="0.25">
      <c r="A157" s="2">
        <v>44421.627615740741</v>
      </c>
      <c r="B157" t="s">
        <v>161</v>
      </c>
      <c r="C157" t="s">
        <v>1479</v>
      </c>
      <c r="D157" t="s">
        <v>2249</v>
      </c>
      <c r="E157" t="s">
        <v>2540</v>
      </c>
      <c r="F157" t="str">
        <f>HYPERLINK("https://vsd.vn/vi/ad/143883","Link")</f>
        <v>Link</v>
      </c>
    </row>
    <row r="158" spans="1:6" x14ac:dyDescent="0.25">
      <c r="A158" s="2">
        <v>44421.627291666657</v>
      </c>
      <c r="B158" t="s">
        <v>162</v>
      </c>
      <c r="C158" t="s">
        <v>1555</v>
      </c>
      <c r="D158" t="s">
        <v>2251</v>
      </c>
      <c r="F158" t="str">
        <f>HYPERLINK("https://vsd.vn/vi/ad/143882","Link")</f>
        <v>Link</v>
      </c>
    </row>
    <row r="159" spans="1:6" x14ac:dyDescent="0.25">
      <c r="A159" s="2">
        <v>44421.625752314823</v>
      </c>
      <c r="B159" t="s">
        <v>163</v>
      </c>
      <c r="C159" t="s">
        <v>1556</v>
      </c>
      <c r="D159" t="s">
        <v>2251</v>
      </c>
      <c r="E159" t="s">
        <v>2541</v>
      </c>
      <c r="F159" t="str">
        <f>HYPERLINK("https://vsd.vn/vi/ad/143881","Link")</f>
        <v>Link</v>
      </c>
    </row>
    <row r="160" spans="1:6" x14ac:dyDescent="0.25">
      <c r="A160" s="2">
        <v>44421.618576388893</v>
      </c>
      <c r="B160" t="s">
        <v>164</v>
      </c>
      <c r="C160" t="s">
        <v>1557</v>
      </c>
      <c r="D160" t="s">
        <v>2244</v>
      </c>
      <c r="E160" t="s">
        <v>2542</v>
      </c>
      <c r="F160" t="str">
        <f>HYPERLINK("https://vsd.vn/vi/ad/143878","Link")</f>
        <v>Link</v>
      </c>
    </row>
    <row r="161" spans="1:6" x14ac:dyDescent="0.25">
      <c r="A161" s="2">
        <v>44421.617372685178</v>
      </c>
      <c r="B161" t="s">
        <v>165</v>
      </c>
      <c r="C161" t="s">
        <v>1558</v>
      </c>
      <c r="D161" t="s">
        <v>2248</v>
      </c>
      <c r="E161" t="s">
        <v>2543</v>
      </c>
      <c r="F161" t="str">
        <f>HYPERLINK("https://vsd.vn/vi/ad/143877","Link")</f>
        <v>Link</v>
      </c>
    </row>
    <row r="162" spans="1:6" x14ac:dyDescent="0.25">
      <c r="A162" s="2">
        <v>44421.592361111107</v>
      </c>
      <c r="B162" t="s">
        <v>166</v>
      </c>
      <c r="C162" t="s">
        <v>1559</v>
      </c>
      <c r="D162" t="s">
        <v>2251</v>
      </c>
      <c r="F162" t="str">
        <f>HYPERLINK("https://vsd.vn/vi/ad/143868","Link")</f>
        <v>Link</v>
      </c>
    </row>
    <row r="163" spans="1:6" x14ac:dyDescent="0.25">
      <c r="A163" s="2">
        <v>44421.591423611113</v>
      </c>
      <c r="B163" t="s">
        <v>167</v>
      </c>
      <c r="C163" t="s">
        <v>1560</v>
      </c>
      <c r="D163" t="s">
        <v>2249</v>
      </c>
      <c r="F163" t="str">
        <f>HYPERLINK("https://vsd.vn/vi/ad/143866","Link")</f>
        <v>Link</v>
      </c>
    </row>
    <row r="164" spans="1:6" x14ac:dyDescent="0.25">
      <c r="A164" s="2">
        <v>44421.590578703697</v>
      </c>
      <c r="B164" t="s">
        <v>168</v>
      </c>
      <c r="C164" t="s">
        <v>1477</v>
      </c>
      <c r="D164" t="s">
        <v>2248</v>
      </c>
      <c r="E164" t="s">
        <v>2544</v>
      </c>
      <c r="F164" t="str">
        <f>HYPERLINK("https://vsd.vn/vi/ad/143865","Link")</f>
        <v>Link</v>
      </c>
    </row>
    <row r="165" spans="1:6" x14ac:dyDescent="0.25">
      <c r="A165" s="2">
        <v>44420.677766203713</v>
      </c>
      <c r="B165" t="s">
        <v>169</v>
      </c>
      <c r="C165" t="s">
        <v>1477</v>
      </c>
      <c r="D165" t="s">
        <v>2237</v>
      </c>
      <c r="E165" t="s">
        <v>2537</v>
      </c>
      <c r="F165" t="str">
        <f>HYPERLINK("https://vsd.vn/vi/ad/143849","Link")</f>
        <v>Link</v>
      </c>
    </row>
    <row r="166" spans="1:6" x14ac:dyDescent="0.25">
      <c r="A166" s="2">
        <v>44420.676990740743</v>
      </c>
      <c r="B166" t="s">
        <v>170</v>
      </c>
      <c r="F166" t="str">
        <f>HYPERLINK("https://vsd.vn/vi/ad/143846","Link")</f>
        <v>Link</v>
      </c>
    </row>
    <row r="167" spans="1:6" x14ac:dyDescent="0.25">
      <c r="A167" s="2">
        <v>44420.676180555558</v>
      </c>
      <c r="B167" t="s">
        <v>171</v>
      </c>
      <c r="C167" t="s">
        <v>1561</v>
      </c>
      <c r="D167" t="s">
        <v>2250</v>
      </c>
      <c r="E167" t="s">
        <v>2545</v>
      </c>
      <c r="F167" t="str">
        <f>HYPERLINK("https://vsd.vn/vi/ad/143850","Link")</f>
        <v>Link</v>
      </c>
    </row>
    <row r="168" spans="1:6" x14ac:dyDescent="0.25">
      <c r="A168" s="2">
        <v>44420.619652777779</v>
      </c>
      <c r="B168" t="s">
        <v>172</v>
      </c>
      <c r="C168" t="s">
        <v>1562</v>
      </c>
      <c r="D168" t="s">
        <v>2251</v>
      </c>
      <c r="E168" t="s">
        <v>2546</v>
      </c>
      <c r="F168" t="str">
        <f>HYPERLINK("https://vsd.vn/vi/ad/143842","Link")</f>
        <v>Link</v>
      </c>
    </row>
    <row r="169" spans="1:6" x14ac:dyDescent="0.25">
      <c r="A169" s="2">
        <v>44420.615995370368</v>
      </c>
      <c r="B169" t="s">
        <v>173</v>
      </c>
      <c r="C169" t="s">
        <v>1563</v>
      </c>
      <c r="D169" t="s">
        <v>2248</v>
      </c>
      <c r="E169" t="s">
        <v>2547</v>
      </c>
      <c r="F169" t="str">
        <f>HYPERLINK("https://vsd.vn/vi/ad/143839","Link")</f>
        <v>Link</v>
      </c>
    </row>
    <row r="170" spans="1:6" x14ac:dyDescent="0.25">
      <c r="A170" s="2">
        <v>44420.615648148138</v>
      </c>
      <c r="B170" t="s">
        <v>174</v>
      </c>
      <c r="C170" t="s">
        <v>1479</v>
      </c>
      <c r="D170" t="s">
        <v>2249</v>
      </c>
      <c r="E170" t="s">
        <v>2538</v>
      </c>
      <c r="F170" t="str">
        <f>HYPERLINK("https://vsd.vn/vi/ad/143840","Link")</f>
        <v>Link</v>
      </c>
    </row>
    <row r="171" spans="1:6" x14ac:dyDescent="0.25">
      <c r="A171" s="2">
        <v>44420.61513888889</v>
      </c>
      <c r="B171" t="s">
        <v>175</v>
      </c>
      <c r="C171" t="s">
        <v>1564</v>
      </c>
      <c r="D171" t="s">
        <v>2247</v>
      </c>
      <c r="E171" t="s">
        <v>2548</v>
      </c>
      <c r="F171" t="str">
        <f>HYPERLINK("https://vsd.vn/vi/ad/143841","Link")</f>
        <v>Link</v>
      </c>
    </row>
    <row r="172" spans="1:6" x14ac:dyDescent="0.25">
      <c r="A172" s="2">
        <v>44420.410567129627</v>
      </c>
      <c r="B172" t="s">
        <v>81</v>
      </c>
      <c r="C172" t="s">
        <v>1565</v>
      </c>
      <c r="D172" t="s">
        <v>2237</v>
      </c>
      <c r="F172" t="str">
        <f>HYPERLINK("https://vsd.vn/vi/ad/143831","Link")</f>
        <v>Link</v>
      </c>
    </row>
    <row r="173" spans="1:6" x14ac:dyDescent="0.25">
      <c r="A173" s="2">
        <v>44419.690150462957</v>
      </c>
      <c r="B173" t="s">
        <v>176</v>
      </c>
      <c r="C173" t="s">
        <v>1566</v>
      </c>
      <c r="D173" t="s">
        <v>2241</v>
      </c>
      <c r="E173" t="s">
        <v>2549</v>
      </c>
      <c r="F173" t="str">
        <f>HYPERLINK("https://vsd.vn/vi/ad/143827","Link")</f>
        <v>Link</v>
      </c>
    </row>
    <row r="174" spans="1:6" x14ac:dyDescent="0.25">
      <c r="A174" s="2">
        <v>44419.676898148151</v>
      </c>
      <c r="B174" t="s">
        <v>177</v>
      </c>
      <c r="C174" t="s">
        <v>1567</v>
      </c>
      <c r="D174" t="s">
        <v>2251</v>
      </c>
      <c r="E174" t="s">
        <v>2543</v>
      </c>
      <c r="F174" t="str">
        <f>HYPERLINK("https://vsd.vn/vi/ad/143824","Link")</f>
        <v>Link</v>
      </c>
    </row>
    <row r="175" spans="1:6" x14ac:dyDescent="0.25">
      <c r="A175" s="2">
        <v>44419.658715277779</v>
      </c>
      <c r="B175" t="s">
        <v>178</v>
      </c>
      <c r="C175" t="s">
        <v>1494</v>
      </c>
      <c r="D175" t="s">
        <v>2252</v>
      </c>
      <c r="E175" t="s">
        <v>2550</v>
      </c>
      <c r="F175" t="str">
        <f>HYPERLINK("https://vsd.vn/vi/ad/143818","Link")</f>
        <v>Link</v>
      </c>
    </row>
    <row r="176" spans="1:6" x14ac:dyDescent="0.25">
      <c r="A176" s="2">
        <v>44419.65834490741</v>
      </c>
      <c r="B176" t="s">
        <v>179</v>
      </c>
      <c r="C176" t="s">
        <v>1568</v>
      </c>
      <c r="D176" t="s">
        <v>2244</v>
      </c>
      <c r="F176" t="str">
        <f>HYPERLINK("https://vsd.vn/vi/ad/143823","Link")</f>
        <v>Link</v>
      </c>
    </row>
    <row r="177" spans="1:6" x14ac:dyDescent="0.25">
      <c r="A177" s="2">
        <v>44419.472800925927</v>
      </c>
      <c r="B177" t="s">
        <v>180</v>
      </c>
      <c r="D177" t="s">
        <v>2240</v>
      </c>
      <c r="E177" t="s">
        <v>2551</v>
      </c>
      <c r="F177" t="str">
        <f>HYPERLINK("https://vsd.vn/vi/ad/143815","Link")</f>
        <v>Link</v>
      </c>
    </row>
    <row r="178" spans="1:6" x14ac:dyDescent="0.25">
      <c r="A178" s="2">
        <v>44419.472488425927</v>
      </c>
      <c r="B178" t="s">
        <v>181</v>
      </c>
      <c r="C178" t="s">
        <v>1569</v>
      </c>
      <c r="D178" t="s">
        <v>2252</v>
      </c>
      <c r="E178" t="s">
        <v>2552</v>
      </c>
      <c r="F178" t="str">
        <f>HYPERLINK("https://vsd.vn/vi/ad/143813","Link")</f>
        <v>Link</v>
      </c>
    </row>
    <row r="179" spans="1:6" x14ac:dyDescent="0.25">
      <c r="A179" s="2">
        <v>44419.459537037037</v>
      </c>
      <c r="B179" t="s">
        <v>182</v>
      </c>
      <c r="C179" t="s">
        <v>1503</v>
      </c>
      <c r="D179" t="s">
        <v>2253</v>
      </c>
      <c r="E179" t="s">
        <v>2553</v>
      </c>
      <c r="F179" t="str">
        <f>HYPERLINK("https://vsd.vn/vi/ad/143814","Link")</f>
        <v>Link</v>
      </c>
    </row>
    <row r="180" spans="1:6" x14ac:dyDescent="0.25">
      <c r="A180" s="2">
        <v>44418.703611111108</v>
      </c>
      <c r="B180" t="s">
        <v>183</v>
      </c>
      <c r="C180" t="s">
        <v>1500</v>
      </c>
      <c r="D180" t="s">
        <v>2253</v>
      </c>
      <c r="E180" t="s">
        <v>2554</v>
      </c>
      <c r="F180" t="str">
        <f>HYPERLINK("https://vsd.vn/vi/ad/143797","Link")</f>
        <v>Link</v>
      </c>
    </row>
    <row r="181" spans="1:6" x14ac:dyDescent="0.25">
      <c r="A181" s="2">
        <v>44418.687372685177</v>
      </c>
      <c r="B181" t="s">
        <v>184</v>
      </c>
      <c r="C181" t="s">
        <v>1499</v>
      </c>
      <c r="D181" t="s">
        <v>2252</v>
      </c>
      <c r="E181" t="s">
        <v>2555</v>
      </c>
      <c r="F181" t="str">
        <f>HYPERLINK("https://vsd.vn/vi/ad/143793","Link")</f>
        <v>Link</v>
      </c>
    </row>
    <row r="182" spans="1:6" x14ac:dyDescent="0.25">
      <c r="A182" s="2">
        <v>44418.654965277783</v>
      </c>
      <c r="B182" t="s">
        <v>185</v>
      </c>
      <c r="D182" t="s">
        <v>2254</v>
      </c>
      <c r="F182" t="str">
        <f>HYPERLINK("https://vsd.vn/vi/ad/143789","Link")</f>
        <v>Link</v>
      </c>
    </row>
    <row r="183" spans="1:6" x14ac:dyDescent="0.25">
      <c r="A183" s="2">
        <v>44418.650729166657</v>
      </c>
      <c r="B183" t="s">
        <v>186</v>
      </c>
      <c r="C183" t="s">
        <v>1570</v>
      </c>
      <c r="D183" t="s">
        <v>2253</v>
      </c>
      <c r="F183" t="str">
        <f>HYPERLINK("https://vsd.vn/vi/ad/143792","Link")</f>
        <v>Link</v>
      </c>
    </row>
    <row r="184" spans="1:6" x14ac:dyDescent="0.25">
      <c r="A184" s="2">
        <v>44418.426921296297</v>
      </c>
      <c r="B184" t="s">
        <v>187</v>
      </c>
      <c r="D184" t="s">
        <v>2253</v>
      </c>
      <c r="F184" t="str">
        <f>HYPERLINK("https://vsd.vn/vi/ad/143779","Link")</f>
        <v>Link</v>
      </c>
    </row>
    <row r="185" spans="1:6" x14ac:dyDescent="0.25">
      <c r="A185" s="2">
        <v>44418.42633101852</v>
      </c>
      <c r="B185" t="s">
        <v>188</v>
      </c>
      <c r="D185" t="s">
        <v>2253</v>
      </c>
      <c r="E185" t="s">
        <v>2556</v>
      </c>
      <c r="F185" t="str">
        <f>HYPERLINK("https://vsd.vn/vi/ad/143782","Link")</f>
        <v>Link</v>
      </c>
    </row>
    <row r="186" spans="1:6" x14ac:dyDescent="0.25">
      <c r="A186" s="2">
        <v>44418.425775462973</v>
      </c>
      <c r="B186" t="s">
        <v>189</v>
      </c>
      <c r="C186" t="s">
        <v>1571</v>
      </c>
      <c r="D186" t="s">
        <v>2249</v>
      </c>
      <c r="E186" t="s">
        <v>2557</v>
      </c>
      <c r="F186" t="str">
        <f>HYPERLINK("https://vsd.vn/vi/ad/143780","Link")</f>
        <v>Link</v>
      </c>
    </row>
    <row r="187" spans="1:6" x14ac:dyDescent="0.25">
      <c r="A187" s="2">
        <v>44417.717233796298</v>
      </c>
      <c r="B187" t="s">
        <v>190</v>
      </c>
      <c r="C187" t="s">
        <v>1467</v>
      </c>
      <c r="D187" t="s">
        <v>2232</v>
      </c>
      <c r="E187" t="s">
        <v>2513</v>
      </c>
      <c r="F187" t="str">
        <f>HYPERLINK("https://vsd.vn/vi/ad/143777","Link")</f>
        <v>Link</v>
      </c>
    </row>
    <row r="188" spans="1:6" x14ac:dyDescent="0.25">
      <c r="A188" s="2">
        <v>44414.805555555547</v>
      </c>
      <c r="B188" t="s">
        <v>191</v>
      </c>
      <c r="F188" t="str">
        <f>HYPERLINK("https://vsd.vn/vi/ad/143769","Link")</f>
        <v>Link</v>
      </c>
    </row>
    <row r="189" spans="1:6" x14ac:dyDescent="0.25">
      <c r="A189" s="2">
        <v>44414.7419212963</v>
      </c>
      <c r="B189" t="s">
        <v>192</v>
      </c>
      <c r="C189" t="s">
        <v>1572</v>
      </c>
      <c r="D189" t="s">
        <v>2255</v>
      </c>
      <c r="F189" t="str">
        <f>HYPERLINK("https://vsd.vn/vi/ad/143752","Link")</f>
        <v>Link</v>
      </c>
    </row>
    <row r="190" spans="1:6" x14ac:dyDescent="0.25">
      <c r="A190" s="2">
        <v>44414.643622685187</v>
      </c>
      <c r="B190" t="s">
        <v>193</v>
      </c>
      <c r="C190" t="s">
        <v>1512</v>
      </c>
      <c r="D190" t="s">
        <v>2255</v>
      </c>
      <c r="E190" t="s">
        <v>2558</v>
      </c>
      <c r="F190" t="str">
        <f>HYPERLINK("https://vsd.vn/vi/ad/143743","Link")</f>
        <v>Link</v>
      </c>
    </row>
    <row r="191" spans="1:6" x14ac:dyDescent="0.25">
      <c r="A191" s="2">
        <v>44414.642800925933</v>
      </c>
      <c r="B191" t="s">
        <v>194</v>
      </c>
      <c r="C191" t="s">
        <v>1573</v>
      </c>
      <c r="D191" t="s">
        <v>2255</v>
      </c>
      <c r="F191" t="str">
        <f>HYPERLINK("https://vsd.vn/vi/ad/143749","Link")</f>
        <v>Link</v>
      </c>
    </row>
    <row r="192" spans="1:6" x14ac:dyDescent="0.25">
      <c r="A192" s="2">
        <v>44414.420868055553</v>
      </c>
      <c r="B192" t="s">
        <v>195</v>
      </c>
      <c r="C192" t="s">
        <v>1488</v>
      </c>
      <c r="D192" t="s">
        <v>2250</v>
      </c>
      <c r="E192" t="s">
        <v>2559</v>
      </c>
      <c r="F192" t="str">
        <f>HYPERLINK("https://vsd.vn/vi/ad/143722","Link")</f>
        <v>Link</v>
      </c>
    </row>
    <row r="193" spans="1:6" x14ac:dyDescent="0.25">
      <c r="A193" s="2">
        <v>44414.420254629629</v>
      </c>
      <c r="B193" t="s">
        <v>196</v>
      </c>
      <c r="C193" t="s">
        <v>1469</v>
      </c>
      <c r="D193" t="s">
        <v>2251</v>
      </c>
      <c r="E193" t="s">
        <v>2559</v>
      </c>
      <c r="F193" t="str">
        <f>HYPERLINK("https://vsd.vn/vi/ad/143723","Link")</f>
        <v>Link</v>
      </c>
    </row>
    <row r="194" spans="1:6" x14ac:dyDescent="0.25">
      <c r="A194" s="2">
        <v>44413.682442129633</v>
      </c>
      <c r="B194" t="s">
        <v>197</v>
      </c>
      <c r="C194" t="s">
        <v>1564</v>
      </c>
      <c r="D194" t="s">
        <v>2252</v>
      </c>
      <c r="E194" t="s">
        <v>2560</v>
      </c>
      <c r="F194" t="str">
        <f>HYPERLINK("https://vsd.vn/vi/ad/143726","Link")</f>
        <v>Link</v>
      </c>
    </row>
    <row r="195" spans="1:6" x14ac:dyDescent="0.25">
      <c r="A195" s="2">
        <v>44413.680775462963</v>
      </c>
      <c r="B195" t="s">
        <v>198</v>
      </c>
      <c r="C195" t="s">
        <v>1574</v>
      </c>
      <c r="D195" t="s">
        <v>2252</v>
      </c>
      <c r="E195" t="s">
        <v>2561</v>
      </c>
      <c r="F195" t="str">
        <f>HYPERLINK("https://vsd.vn/vi/ad/143727","Link")</f>
        <v>Link</v>
      </c>
    </row>
    <row r="196" spans="1:6" x14ac:dyDescent="0.25">
      <c r="A196" s="2">
        <v>44413.462696759263</v>
      </c>
      <c r="B196" t="s">
        <v>199</v>
      </c>
      <c r="C196" t="s">
        <v>1575</v>
      </c>
      <c r="D196" t="s">
        <v>2256</v>
      </c>
      <c r="E196" t="s">
        <v>2562</v>
      </c>
      <c r="F196" t="str">
        <f>HYPERLINK("https://vsd.vn/vi/ad/143720","Link")</f>
        <v>Link</v>
      </c>
    </row>
    <row r="197" spans="1:6" x14ac:dyDescent="0.25">
      <c r="A197" s="2">
        <v>44413.446655092594</v>
      </c>
      <c r="B197" t="s">
        <v>200</v>
      </c>
      <c r="C197" t="s">
        <v>1576</v>
      </c>
      <c r="D197" t="s">
        <v>2257</v>
      </c>
      <c r="E197" t="s">
        <v>2563</v>
      </c>
      <c r="F197" t="str">
        <f>HYPERLINK("https://vsd.vn/vi/ad/143708","Link")</f>
        <v>Link</v>
      </c>
    </row>
    <row r="198" spans="1:6" x14ac:dyDescent="0.25">
      <c r="A198" s="2">
        <v>44413.428518518522</v>
      </c>
      <c r="B198" t="s">
        <v>201</v>
      </c>
      <c r="C198" t="s">
        <v>1484</v>
      </c>
      <c r="D198" t="s">
        <v>2249</v>
      </c>
      <c r="E198" t="s">
        <v>2544</v>
      </c>
      <c r="F198" t="str">
        <f>HYPERLINK("https://vsd.vn/vi/ad/143705","Link")</f>
        <v>Link</v>
      </c>
    </row>
    <row r="199" spans="1:6" x14ac:dyDescent="0.25">
      <c r="A199" s="2">
        <v>44412.699131944442</v>
      </c>
      <c r="B199" t="s">
        <v>202</v>
      </c>
      <c r="C199" t="s">
        <v>1577</v>
      </c>
      <c r="D199" t="s">
        <v>2251</v>
      </c>
      <c r="E199" t="s">
        <v>2564</v>
      </c>
      <c r="F199" t="str">
        <f>HYPERLINK("https://vsd.vn/vi/ad/143683","Link")</f>
        <v>Link</v>
      </c>
    </row>
    <row r="200" spans="1:6" x14ac:dyDescent="0.25">
      <c r="A200" s="2">
        <v>44412.474861111114</v>
      </c>
      <c r="B200" t="s">
        <v>203</v>
      </c>
      <c r="C200" t="s">
        <v>1480</v>
      </c>
      <c r="D200" t="s">
        <v>2258</v>
      </c>
      <c r="E200" t="s">
        <v>2565</v>
      </c>
      <c r="F200" t="str">
        <f>HYPERLINK("https://vsd.vn/vi/ad/143672","Link")</f>
        <v>Link</v>
      </c>
    </row>
    <row r="201" spans="1:6" x14ac:dyDescent="0.25">
      <c r="A201" s="2">
        <v>44412.474293981482</v>
      </c>
      <c r="B201" t="s">
        <v>204</v>
      </c>
      <c r="C201" t="s">
        <v>1467</v>
      </c>
      <c r="D201" t="s">
        <v>2259</v>
      </c>
      <c r="E201" t="s">
        <v>2566</v>
      </c>
      <c r="F201" t="str">
        <f>HYPERLINK("https://vsd.vn/vi/ad/143663","Link")</f>
        <v>Link</v>
      </c>
    </row>
    <row r="202" spans="1:6" x14ac:dyDescent="0.25">
      <c r="A202" s="2">
        <v>44412.370567129627</v>
      </c>
      <c r="B202" t="s">
        <v>205</v>
      </c>
      <c r="C202" t="s">
        <v>1499</v>
      </c>
      <c r="D202" t="s">
        <v>2252</v>
      </c>
      <c r="E202" t="s">
        <v>2525</v>
      </c>
      <c r="F202" t="str">
        <f>HYPERLINK("https://vsd.vn/vi/ad/143670","Link")</f>
        <v>Link</v>
      </c>
    </row>
    <row r="203" spans="1:6" x14ac:dyDescent="0.25">
      <c r="A203" s="2">
        <v>44412.36922453704</v>
      </c>
      <c r="B203" t="s">
        <v>206</v>
      </c>
      <c r="C203" t="s">
        <v>1578</v>
      </c>
      <c r="D203" t="s">
        <v>2250</v>
      </c>
      <c r="E203" t="s">
        <v>2528</v>
      </c>
      <c r="F203" t="str">
        <f>HYPERLINK("https://vsd.vn/vi/ad/143667","Link")</f>
        <v>Link</v>
      </c>
    </row>
    <row r="204" spans="1:6" x14ac:dyDescent="0.25">
      <c r="A204" s="2">
        <v>44411.616273148153</v>
      </c>
      <c r="B204" t="s">
        <v>207</v>
      </c>
      <c r="C204" t="s">
        <v>1579</v>
      </c>
      <c r="D204" t="s">
        <v>2258</v>
      </c>
      <c r="E204" t="s">
        <v>2559</v>
      </c>
      <c r="F204" t="str">
        <f>HYPERLINK("https://vsd.vn/vi/ad/143662","Link")</f>
        <v>Link</v>
      </c>
    </row>
    <row r="205" spans="1:6" x14ac:dyDescent="0.25">
      <c r="A205" s="2">
        <v>44411.44902777778</v>
      </c>
      <c r="B205" t="s">
        <v>208</v>
      </c>
      <c r="C205" t="s">
        <v>1580</v>
      </c>
      <c r="D205" t="s">
        <v>2257</v>
      </c>
      <c r="E205" t="s">
        <v>2567</v>
      </c>
      <c r="F205" t="str">
        <f>HYPERLINK("https://vsd.vn/vi/ad/143647","Link")</f>
        <v>Link</v>
      </c>
    </row>
    <row r="206" spans="1:6" x14ac:dyDescent="0.25">
      <c r="A206" s="2">
        <v>44411.448703703703</v>
      </c>
      <c r="B206" t="s">
        <v>209</v>
      </c>
      <c r="C206" t="s">
        <v>1581</v>
      </c>
      <c r="D206" t="s">
        <v>2260</v>
      </c>
      <c r="E206" t="s">
        <v>2568</v>
      </c>
      <c r="F206" t="str">
        <f>HYPERLINK("https://vsd.vn/vi/ad/143646","Link")</f>
        <v>Link</v>
      </c>
    </row>
    <row r="207" spans="1:6" x14ac:dyDescent="0.25">
      <c r="A207" s="2">
        <v>44410.617604166669</v>
      </c>
      <c r="B207" t="s">
        <v>210</v>
      </c>
      <c r="C207" t="s">
        <v>1582</v>
      </c>
      <c r="D207" t="s">
        <v>2248</v>
      </c>
      <c r="F207" t="str">
        <f>HYPERLINK("https://vsd.vn/vi/ad/143610","Link")</f>
        <v>Link</v>
      </c>
    </row>
    <row r="208" spans="1:6" x14ac:dyDescent="0.25">
      <c r="A208" s="2">
        <v>44407.72861111111</v>
      </c>
      <c r="B208" t="s">
        <v>211</v>
      </c>
      <c r="C208" t="s">
        <v>1522</v>
      </c>
      <c r="D208" t="s">
        <v>2252</v>
      </c>
      <c r="F208" t="str">
        <f>HYPERLINK("https://vsd.vn/vi/ad/143603","Link")</f>
        <v>Link</v>
      </c>
    </row>
    <row r="209" spans="1:6" x14ac:dyDescent="0.25">
      <c r="A209" s="2">
        <v>44407.726863425924</v>
      </c>
      <c r="B209" t="s">
        <v>212</v>
      </c>
      <c r="C209" t="s">
        <v>1506</v>
      </c>
      <c r="D209" t="s">
        <v>2258</v>
      </c>
      <c r="E209" t="s">
        <v>2569</v>
      </c>
      <c r="F209" t="str">
        <f>HYPERLINK("https://vsd.vn/vi/ad/143604","Link")</f>
        <v>Link</v>
      </c>
    </row>
    <row r="210" spans="1:6" x14ac:dyDescent="0.25">
      <c r="A210" s="2">
        <v>44407.456145833326</v>
      </c>
      <c r="B210" t="s">
        <v>213</v>
      </c>
      <c r="C210" t="s">
        <v>1583</v>
      </c>
      <c r="D210" t="s">
        <v>2261</v>
      </c>
      <c r="E210" t="s">
        <v>2570</v>
      </c>
      <c r="F210" t="str">
        <f>HYPERLINK("https://vsd.vn/vi/ad/143569","Link")</f>
        <v>Link</v>
      </c>
    </row>
    <row r="211" spans="1:6" x14ac:dyDescent="0.25">
      <c r="A211" s="2">
        <v>44407.455763888887</v>
      </c>
      <c r="B211" t="s">
        <v>214</v>
      </c>
      <c r="C211" t="s">
        <v>1584</v>
      </c>
      <c r="D211" t="s">
        <v>2260</v>
      </c>
      <c r="F211" t="str">
        <f>HYPERLINK("https://vsd.vn/vi/ad/143553","Link")</f>
        <v>Link</v>
      </c>
    </row>
    <row r="212" spans="1:6" x14ac:dyDescent="0.25">
      <c r="A212" s="2">
        <v>44406.418969907398</v>
      </c>
      <c r="B212" t="s">
        <v>215</v>
      </c>
      <c r="C212" t="s">
        <v>1585</v>
      </c>
      <c r="D212" t="s">
        <v>2260</v>
      </c>
      <c r="F212" t="str">
        <f>HYPERLINK("https://vsd.vn/vi/ad/143528","Link")</f>
        <v>Link</v>
      </c>
    </row>
    <row r="213" spans="1:6" x14ac:dyDescent="0.25">
      <c r="A213" s="2">
        <v>44406.418611111112</v>
      </c>
      <c r="B213" t="s">
        <v>216</v>
      </c>
      <c r="D213" t="s">
        <v>2261</v>
      </c>
      <c r="F213" t="str">
        <f>HYPERLINK("https://vsd.vn/vi/ad/143521","Link")</f>
        <v>Link</v>
      </c>
    </row>
    <row r="214" spans="1:6" x14ac:dyDescent="0.25">
      <c r="A214" s="2">
        <v>44406.418425925927</v>
      </c>
      <c r="B214" t="s">
        <v>217</v>
      </c>
      <c r="C214" t="s">
        <v>1467</v>
      </c>
      <c r="D214" t="s">
        <v>2262</v>
      </c>
      <c r="E214" t="s">
        <v>2571</v>
      </c>
      <c r="F214" t="str">
        <f>HYPERLINK("https://vsd.vn/vi/ad/143519","Link")</f>
        <v>Link</v>
      </c>
    </row>
    <row r="215" spans="1:6" x14ac:dyDescent="0.25">
      <c r="A215" s="2">
        <v>44405.710775462961</v>
      </c>
      <c r="B215" t="s">
        <v>218</v>
      </c>
      <c r="E215" t="s">
        <v>2572</v>
      </c>
      <c r="F215" t="str">
        <f>HYPERLINK("https://vsd.vn/vi/ad/143529","Link")</f>
        <v>Link</v>
      </c>
    </row>
    <row r="216" spans="1:6" x14ac:dyDescent="0.25">
      <c r="A216" s="2">
        <v>44405.668009259258</v>
      </c>
      <c r="B216" t="s">
        <v>219</v>
      </c>
      <c r="C216" t="s">
        <v>1494</v>
      </c>
      <c r="D216" t="s">
        <v>2250</v>
      </c>
      <c r="E216" t="s">
        <v>2573</v>
      </c>
      <c r="F216" t="str">
        <f>HYPERLINK("https://vsd.vn/vi/ad/143513","Link")</f>
        <v>Link</v>
      </c>
    </row>
    <row r="217" spans="1:6" x14ac:dyDescent="0.25">
      <c r="A217" s="2">
        <v>44405.645925925928</v>
      </c>
      <c r="B217" t="s">
        <v>220</v>
      </c>
      <c r="C217" t="s">
        <v>1494</v>
      </c>
      <c r="D217" t="s">
        <v>2263</v>
      </c>
      <c r="E217" t="s">
        <v>2574</v>
      </c>
      <c r="F217" t="str">
        <f>HYPERLINK("https://vsd.vn/vi/ad/143516","Link")</f>
        <v>Link</v>
      </c>
    </row>
    <row r="218" spans="1:6" x14ac:dyDescent="0.25">
      <c r="A218" s="2">
        <v>44405.627349537041</v>
      </c>
      <c r="B218" t="s">
        <v>221</v>
      </c>
      <c r="C218" t="s">
        <v>1472</v>
      </c>
      <c r="D218" t="s">
        <v>2262</v>
      </c>
      <c r="E218" t="s">
        <v>2575</v>
      </c>
      <c r="F218" t="str">
        <f>HYPERLINK("https://vsd.vn/vi/ad/143473","Link")</f>
        <v>Link</v>
      </c>
    </row>
    <row r="219" spans="1:6" x14ac:dyDescent="0.25">
      <c r="A219" s="2">
        <v>44404.729409722233</v>
      </c>
      <c r="B219" t="s">
        <v>222</v>
      </c>
      <c r="C219" t="s">
        <v>1479</v>
      </c>
      <c r="D219" t="s">
        <v>2257</v>
      </c>
      <c r="F219" t="str">
        <f>HYPERLINK("https://vsd.vn/vi/ad/143481","Link")</f>
        <v>Link</v>
      </c>
    </row>
    <row r="220" spans="1:6" x14ac:dyDescent="0.25">
      <c r="A220" s="2">
        <v>44404.671053240738</v>
      </c>
      <c r="B220" t="s">
        <v>42</v>
      </c>
      <c r="E220" t="s">
        <v>2576</v>
      </c>
      <c r="F220" t="str">
        <f>HYPERLINK("https://vsd.vn/vi/ad/143476","Link")</f>
        <v>Link</v>
      </c>
    </row>
    <row r="221" spans="1:6" x14ac:dyDescent="0.25">
      <c r="A221" s="2">
        <v>44404.388923611114</v>
      </c>
      <c r="B221" t="s">
        <v>223</v>
      </c>
      <c r="C221" t="s">
        <v>1586</v>
      </c>
      <c r="D221" t="s">
        <v>2261</v>
      </c>
      <c r="E221" t="s">
        <v>2577</v>
      </c>
      <c r="F221" t="str">
        <f>HYPERLINK("https://vsd.vn/vi/ad/143469","Link")</f>
        <v>Link</v>
      </c>
    </row>
    <row r="222" spans="1:6" x14ac:dyDescent="0.25">
      <c r="A222" s="2">
        <v>44403.720057870371</v>
      </c>
      <c r="B222" t="s">
        <v>224</v>
      </c>
      <c r="D222" t="s">
        <v>2264</v>
      </c>
      <c r="F222" t="str">
        <f>HYPERLINK("https://vsd.vn/vi/ad/143461","Link")</f>
        <v>Link</v>
      </c>
    </row>
    <row r="223" spans="1:6" x14ac:dyDescent="0.25">
      <c r="A223" s="2">
        <v>44403.716608796298</v>
      </c>
      <c r="B223" t="s">
        <v>225</v>
      </c>
      <c r="C223" t="s">
        <v>1587</v>
      </c>
      <c r="D223" t="s">
        <v>2263</v>
      </c>
      <c r="F223" t="str">
        <f>HYPERLINK("https://vsd.vn/vi/ad/143460","Link")</f>
        <v>Link</v>
      </c>
    </row>
    <row r="224" spans="1:6" x14ac:dyDescent="0.25">
      <c r="A224" s="2">
        <v>44403.698692129627</v>
      </c>
      <c r="B224" t="s">
        <v>226</v>
      </c>
      <c r="C224" t="s">
        <v>1588</v>
      </c>
      <c r="D224" t="s">
        <v>2263</v>
      </c>
      <c r="E224" t="s">
        <v>2578</v>
      </c>
      <c r="F224" t="str">
        <f>HYPERLINK("https://vsd.vn/vi/ad/143450","Link")</f>
        <v>Link</v>
      </c>
    </row>
    <row r="225" spans="1:6" x14ac:dyDescent="0.25">
      <c r="A225" s="2">
        <v>44403.69840277778</v>
      </c>
      <c r="B225" t="s">
        <v>227</v>
      </c>
      <c r="D225" t="s">
        <v>2237</v>
      </c>
      <c r="F225" t="str">
        <f>HYPERLINK("https://vsd.vn/vi/ad/143454","Link")</f>
        <v>Link</v>
      </c>
    </row>
    <row r="226" spans="1:6" x14ac:dyDescent="0.25">
      <c r="A226" s="2">
        <v>44403.636145833327</v>
      </c>
      <c r="B226" t="s">
        <v>228</v>
      </c>
      <c r="C226" t="s">
        <v>1467</v>
      </c>
      <c r="D226" t="s">
        <v>2263</v>
      </c>
      <c r="E226" t="s">
        <v>2579</v>
      </c>
      <c r="F226" t="str">
        <f>HYPERLINK("https://vsd.vn/vi/ad/143452","Link")</f>
        <v>Link</v>
      </c>
    </row>
    <row r="227" spans="1:6" x14ac:dyDescent="0.25">
      <c r="A227" s="2">
        <v>44400.720127314817</v>
      </c>
      <c r="B227" t="s">
        <v>229</v>
      </c>
      <c r="C227" t="s">
        <v>1589</v>
      </c>
      <c r="D227" t="s">
        <v>2257</v>
      </c>
      <c r="E227" t="s">
        <v>2580</v>
      </c>
      <c r="F227" t="str">
        <f>HYPERLINK("https://vsd.vn/vi/ad/143436","Link")</f>
        <v>Link</v>
      </c>
    </row>
    <row r="228" spans="1:6" x14ac:dyDescent="0.25">
      <c r="A228" s="2">
        <v>44400.719618055547</v>
      </c>
      <c r="B228" t="s">
        <v>230</v>
      </c>
      <c r="C228" t="s">
        <v>1590</v>
      </c>
      <c r="D228" t="s">
        <v>2263</v>
      </c>
      <c r="E228" t="s">
        <v>2581</v>
      </c>
      <c r="F228" t="str">
        <f>HYPERLINK("https://vsd.vn/vi/ad/143438","Link")</f>
        <v>Link</v>
      </c>
    </row>
    <row r="229" spans="1:6" x14ac:dyDescent="0.25">
      <c r="A229" s="2">
        <v>44400.718726851846</v>
      </c>
      <c r="B229" t="s">
        <v>231</v>
      </c>
      <c r="C229" t="s">
        <v>1591</v>
      </c>
      <c r="D229" t="s">
        <v>2263</v>
      </c>
      <c r="E229" t="s">
        <v>2562</v>
      </c>
      <c r="F229" t="str">
        <f>HYPERLINK("https://vsd.vn/vi/ad/143435","Link")</f>
        <v>Link</v>
      </c>
    </row>
    <row r="230" spans="1:6" x14ac:dyDescent="0.25">
      <c r="A230" s="2">
        <v>44400.712245370371</v>
      </c>
      <c r="B230" t="s">
        <v>232</v>
      </c>
      <c r="C230" t="s">
        <v>1468</v>
      </c>
      <c r="D230" t="s">
        <v>2262</v>
      </c>
      <c r="E230" t="s">
        <v>2582</v>
      </c>
      <c r="F230" t="str">
        <f>HYPERLINK("https://vsd.vn/vi/ad/143426","Link")</f>
        <v>Link</v>
      </c>
    </row>
    <row r="231" spans="1:6" x14ac:dyDescent="0.25">
      <c r="A231" s="2">
        <v>44400.708599537043</v>
      </c>
      <c r="B231" t="s">
        <v>233</v>
      </c>
      <c r="C231" t="s">
        <v>1592</v>
      </c>
      <c r="D231" t="s">
        <v>2263</v>
      </c>
      <c r="F231" t="str">
        <f>HYPERLINK("https://vsd.vn/vi/ad/143429","Link")</f>
        <v>Link</v>
      </c>
    </row>
    <row r="232" spans="1:6" x14ac:dyDescent="0.25">
      <c r="A232" s="2">
        <v>44400.707986111112</v>
      </c>
      <c r="B232" t="s">
        <v>234</v>
      </c>
      <c r="C232" t="s">
        <v>1515</v>
      </c>
      <c r="D232" t="s">
        <v>2262</v>
      </c>
      <c r="E232" t="s">
        <v>2583</v>
      </c>
      <c r="F232" t="str">
        <f>HYPERLINK("https://vsd.vn/vi/ad/143428","Link")</f>
        <v>Link</v>
      </c>
    </row>
    <row r="233" spans="1:6" x14ac:dyDescent="0.25">
      <c r="A233" s="2">
        <v>44400.685185185182</v>
      </c>
      <c r="B233" t="s">
        <v>235</v>
      </c>
      <c r="C233" t="s">
        <v>1593</v>
      </c>
      <c r="D233" t="s">
        <v>2265</v>
      </c>
      <c r="F233" t="str">
        <f>HYPERLINK("https://vsd.vn/vi/ad/143431","Link")</f>
        <v>Link</v>
      </c>
    </row>
    <row r="234" spans="1:6" x14ac:dyDescent="0.25">
      <c r="A234" s="2">
        <v>44400.605092592603</v>
      </c>
      <c r="B234" t="s">
        <v>236</v>
      </c>
      <c r="C234" t="s">
        <v>1484</v>
      </c>
      <c r="D234" t="s">
        <v>2264</v>
      </c>
      <c r="E234" t="s">
        <v>2584</v>
      </c>
      <c r="F234" t="str">
        <f>HYPERLINK("https://vsd.vn/vi/ad/143419","Link")</f>
        <v>Link</v>
      </c>
    </row>
    <row r="235" spans="1:6" x14ac:dyDescent="0.25">
      <c r="A235" s="2">
        <v>44400.416921296302</v>
      </c>
      <c r="B235" t="s">
        <v>237</v>
      </c>
      <c r="E235" t="s">
        <v>2585</v>
      </c>
      <c r="F235" t="str">
        <f>HYPERLINK("https://vsd.vn/vi/ad/143405","Link")</f>
        <v>Link</v>
      </c>
    </row>
    <row r="236" spans="1:6" x14ac:dyDescent="0.25">
      <c r="A236" s="2">
        <v>44400.355509259258</v>
      </c>
      <c r="B236" t="s">
        <v>238</v>
      </c>
      <c r="C236" t="s">
        <v>1494</v>
      </c>
      <c r="D236" t="s">
        <v>2262</v>
      </c>
      <c r="E236" t="s">
        <v>2574</v>
      </c>
      <c r="F236" t="str">
        <f>HYPERLINK("https://vsd.vn/vi/ad/143407","Link")</f>
        <v>Link</v>
      </c>
    </row>
    <row r="237" spans="1:6" x14ac:dyDescent="0.25">
      <c r="A237" s="2">
        <v>44399.708761574067</v>
      </c>
      <c r="B237" t="s">
        <v>239</v>
      </c>
      <c r="C237" t="s">
        <v>1472</v>
      </c>
      <c r="D237" t="s">
        <v>2263</v>
      </c>
      <c r="E237" t="s">
        <v>2586</v>
      </c>
      <c r="F237" t="str">
        <f>HYPERLINK("https://vsd.vn/vi/ad/143401","Link")</f>
        <v>Link</v>
      </c>
    </row>
    <row r="238" spans="1:6" x14ac:dyDescent="0.25">
      <c r="A238" s="2">
        <v>44399.588958333326</v>
      </c>
      <c r="B238" t="s">
        <v>240</v>
      </c>
      <c r="C238" t="s">
        <v>1594</v>
      </c>
      <c r="D238" t="s">
        <v>2266</v>
      </c>
      <c r="F238" t="str">
        <f>HYPERLINK("https://vsd.vn/vi/ad/143393","Link")</f>
        <v>Link</v>
      </c>
    </row>
    <row r="239" spans="1:6" x14ac:dyDescent="0.25">
      <c r="A239" s="2">
        <v>44398.61986111111</v>
      </c>
      <c r="B239" t="s">
        <v>241</v>
      </c>
      <c r="C239" t="s">
        <v>1595</v>
      </c>
      <c r="D239" t="s">
        <v>2266</v>
      </c>
      <c r="E239" t="s">
        <v>2583</v>
      </c>
      <c r="F239" t="str">
        <f>HYPERLINK("https://vsd.vn/vi/ad/143378","Link")</f>
        <v>Link</v>
      </c>
    </row>
    <row r="240" spans="1:6" x14ac:dyDescent="0.25">
      <c r="A240" s="2">
        <v>44398.367534722223</v>
      </c>
      <c r="B240" t="s">
        <v>242</v>
      </c>
      <c r="C240" t="s">
        <v>1467</v>
      </c>
      <c r="D240" t="s">
        <v>2267</v>
      </c>
      <c r="E240" t="s">
        <v>2587</v>
      </c>
      <c r="F240" t="str">
        <f>HYPERLINK("https://vsd.vn/vi/ad/143369","Link")</f>
        <v>Link</v>
      </c>
    </row>
    <row r="241" spans="1:6" x14ac:dyDescent="0.25">
      <c r="A241" s="2">
        <v>44398.364259259259</v>
      </c>
      <c r="B241" t="s">
        <v>243</v>
      </c>
      <c r="C241" t="s">
        <v>1596</v>
      </c>
      <c r="D241" t="s">
        <v>2268</v>
      </c>
      <c r="E241" t="s">
        <v>2588</v>
      </c>
      <c r="F241" t="str">
        <f>HYPERLINK("https://vsd.vn/vi/ad/143365","Link")</f>
        <v>Link</v>
      </c>
    </row>
    <row r="242" spans="1:6" x14ac:dyDescent="0.25">
      <c r="A242" s="2">
        <v>44398.36341435185</v>
      </c>
      <c r="B242" t="s">
        <v>244</v>
      </c>
      <c r="C242" t="s">
        <v>1597</v>
      </c>
      <c r="D242" t="s">
        <v>2264</v>
      </c>
      <c r="E242" t="s">
        <v>2589</v>
      </c>
      <c r="F242" t="str">
        <f>HYPERLINK("https://vsd.vn/vi/ad/143366","Link")</f>
        <v>Link</v>
      </c>
    </row>
    <row r="243" spans="1:6" x14ac:dyDescent="0.25">
      <c r="A243" s="2">
        <v>44397.722418981481</v>
      </c>
      <c r="B243" t="s">
        <v>245</v>
      </c>
      <c r="C243" t="s">
        <v>1467</v>
      </c>
      <c r="D243" t="s">
        <v>2269</v>
      </c>
      <c r="E243" t="s">
        <v>2574</v>
      </c>
      <c r="F243" t="str">
        <f>HYPERLINK("https://vsd.vn/vi/ad/143360","Link")</f>
        <v>Link</v>
      </c>
    </row>
    <row r="244" spans="1:6" x14ac:dyDescent="0.25">
      <c r="A244" s="2">
        <v>44397.4374537037</v>
      </c>
      <c r="B244" t="s">
        <v>246</v>
      </c>
      <c r="C244" t="s">
        <v>1472</v>
      </c>
      <c r="D244" t="s">
        <v>2270</v>
      </c>
      <c r="E244" t="s">
        <v>2590</v>
      </c>
      <c r="F244" t="str">
        <f>HYPERLINK("https://vsd.vn/vi/ad/143352","Link")</f>
        <v>Link</v>
      </c>
    </row>
    <row r="245" spans="1:6" x14ac:dyDescent="0.25">
      <c r="A245" s="2">
        <v>44393.694247685176</v>
      </c>
      <c r="B245" t="s">
        <v>247</v>
      </c>
      <c r="F245" t="str">
        <f>HYPERLINK("https://vsd.vn/vi/ad/143304","Link")</f>
        <v>Link</v>
      </c>
    </row>
    <row r="246" spans="1:6" x14ac:dyDescent="0.25">
      <c r="A246" s="2">
        <v>44393.654293981483</v>
      </c>
      <c r="B246" t="s">
        <v>248</v>
      </c>
      <c r="C246" t="s">
        <v>1488</v>
      </c>
      <c r="D246" t="s">
        <v>2266</v>
      </c>
      <c r="E246" t="s">
        <v>2574</v>
      </c>
      <c r="F246" t="str">
        <f>HYPERLINK("https://vsd.vn/vi/ad/143302","Link")</f>
        <v>Link</v>
      </c>
    </row>
    <row r="247" spans="1:6" x14ac:dyDescent="0.25">
      <c r="A247" s="2">
        <v>44393.649131944447</v>
      </c>
      <c r="B247" t="s">
        <v>249</v>
      </c>
      <c r="C247" t="s">
        <v>1598</v>
      </c>
      <c r="D247" t="s">
        <v>2266</v>
      </c>
      <c r="E247" t="s">
        <v>2562</v>
      </c>
      <c r="F247" t="str">
        <f>HYPERLINK("https://vsd.vn/vi/ad/143299","Link")</f>
        <v>Link</v>
      </c>
    </row>
    <row r="248" spans="1:6" x14ac:dyDescent="0.25">
      <c r="A248" s="2">
        <v>44392.700150462973</v>
      </c>
      <c r="B248" t="s">
        <v>250</v>
      </c>
      <c r="C248" t="s">
        <v>1599</v>
      </c>
      <c r="D248" t="s">
        <v>2271</v>
      </c>
      <c r="E248" t="s">
        <v>2574</v>
      </c>
      <c r="F248" t="str">
        <f>HYPERLINK("https://vsd.vn/vi/ad/143263","Link")</f>
        <v>Link</v>
      </c>
    </row>
    <row r="249" spans="1:6" x14ac:dyDescent="0.25">
      <c r="A249" s="2">
        <v>44392.699629629627</v>
      </c>
      <c r="B249" t="s">
        <v>251</v>
      </c>
      <c r="C249" t="s">
        <v>1467</v>
      </c>
      <c r="D249" t="s">
        <v>2272</v>
      </c>
      <c r="E249" t="s">
        <v>2591</v>
      </c>
      <c r="F249" t="str">
        <f>HYPERLINK("https://vsd.vn/vi/ad/143266","Link")</f>
        <v>Link</v>
      </c>
    </row>
    <row r="250" spans="1:6" x14ac:dyDescent="0.25">
      <c r="A250" s="2">
        <v>44392.698946759258</v>
      </c>
      <c r="B250" t="s">
        <v>252</v>
      </c>
      <c r="C250" t="s">
        <v>1600</v>
      </c>
      <c r="D250" t="s">
        <v>2266</v>
      </c>
      <c r="F250" t="str">
        <f>HYPERLINK("https://vsd.vn/vi/ad/143267","Link")</f>
        <v>Link</v>
      </c>
    </row>
    <row r="251" spans="1:6" x14ac:dyDescent="0.25">
      <c r="A251" s="2">
        <v>44392.698391203703</v>
      </c>
      <c r="B251" t="s">
        <v>253</v>
      </c>
      <c r="C251" t="s">
        <v>1601</v>
      </c>
      <c r="D251" t="s">
        <v>2270</v>
      </c>
      <c r="E251" t="s">
        <v>2592</v>
      </c>
      <c r="F251" t="str">
        <f>HYPERLINK("https://vsd.vn/vi/ad/143268","Link")</f>
        <v>Link</v>
      </c>
    </row>
    <row r="252" spans="1:6" x14ac:dyDescent="0.25">
      <c r="A252" s="2">
        <v>44392.69740740741</v>
      </c>
      <c r="B252" t="s">
        <v>254</v>
      </c>
      <c r="C252" t="s">
        <v>1602</v>
      </c>
      <c r="D252" t="s">
        <v>2271</v>
      </c>
      <c r="E252" t="s">
        <v>2508</v>
      </c>
      <c r="F252" t="str">
        <f>HYPERLINK("https://vsd.vn/vi/ad/143269","Link")</f>
        <v>Link</v>
      </c>
    </row>
    <row r="253" spans="1:6" x14ac:dyDescent="0.25">
      <c r="A253" s="2">
        <v>44392.693298611113</v>
      </c>
      <c r="B253" t="s">
        <v>255</v>
      </c>
      <c r="C253" t="s">
        <v>1603</v>
      </c>
      <c r="D253" t="s">
        <v>2271</v>
      </c>
      <c r="F253" t="str">
        <f>HYPERLINK("https://vsd.vn/vi/ad/143264","Link")</f>
        <v>Link</v>
      </c>
    </row>
    <row r="254" spans="1:6" x14ac:dyDescent="0.25">
      <c r="A254" s="2">
        <v>44392.691817129627</v>
      </c>
      <c r="B254" t="s">
        <v>256</v>
      </c>
      <c r="C254" t="s">
        <v>1604</v>
      </c>
      <c r="D254" t="s">
        <v>2267</v>
      </c>
      <c r="E254" t="s">
        <v>2593</v>
      </c>
      <c r="F254" t="str">
        <f>HYPERLINK("https://vsd.vn/vi/ad/143270","Link")</f>
        <v>Link</v>
      </c>
    </row>
    <row r="255" spans="1:6" x14ac:dyDescent="0.25">
      <c r="A255" s="2">
        <v>44391.696979166663</v>
      </c>
      <c r="B255" t="s">
        <v>257</v>
      </c>
      <c r="C255" t="s">
        <v>1605</v>
      </c>
      <c r="D255" t="s">
        <v>2270</v>
      </c>
      <c r="E255" t="s">
        <v>2594</v>
      </c>
      <c r="F255" t="str">
        <f>HYPERLINK("https://vsd.vn/vi/ad/143217","Link")</f>
        <v>Link</v>
      </c>
    </row>
    <row r="256" spans="1:6" x14ac:dyDescent="0.25">
      <c r="A256" s="2">
        <v>44391.692025462973</v>
      </c>
      <c r="B256" t="s">
        <v>258</v>
      </c>
      <c r="C256" t="s">
        <v>1484</v>
      </c>
      <c r="D256" t="s">
        <v>2266</v>
      </c>
      <c r="E256" t="s">
        <v>2594</v>
      </c>
      <c r="F256" t="str">
        <f>HYPERLINK("https://vsd.vn/vi/ad/143240","Link")</f>
        <v>Link</v>
      </c>
    </row>
    <row r="257" spans="1:6" x14ac:dyDescent="0.25">
      <c r="A257" s="2">
        <v>44391.658148148148</v>
      </c>
      <c r="B257" t="s">
        <v>259</v>
      </c>
      <c r="C257" t="s">
        <v>1606</v>
      </c>
      <c r="D257" t="s">
        <v>2271</v>
      </c>
      <c r="F257" t="str">
        <f>HYPERLINK("https://vsd.vn/vi/ad/143237","Link")</f>
        <v>Link</v>
      </c>
    </row>
    <row r="258" spans="1:6" x14ac:dyDescent="0.25">
      <c r="A258" s="2">
        <v>44391.654409722221</v>
      </c>
      <c r="B258" t="s">
        <v>260</v>
      </c>
      <c r="C258" t="s">
        <v>1494</v>
      </c>
      <c r="D258" t="s">
        <v>2270</v>
      </c>
      <c r="E258" t="s">
        <v>2595</v>
      </c>
      <c r="F258" t="str">
        <f>HYPERLINK("https://vsd.vn/vi/ad/143238","Link")</f>
        <v>Link</v>
      </c>
    </row>
    <row r="259" spans="1:6" x14ac:dyDescent="0.25">
      <c r="A259" s="2">
        <v>44391.635914351849</v>
      </c>
      <c r="B259" t="s">
        <v>261</v>
      </c>
      <c r="C259" t="s">
        <v>1607</v>
      </c>
      <c r="D259" t="s">
        <v>2266</v>
      </c>
      <c r="F259" t="str">
        <f>HYPERLINK("https://vsd.vn/vi/ad/143234","Link")</f>
        <v>Link</v>
      </c>
    </row>
    <row r="260" spans="1:6" x14ac:dyDescent="0.25">
      <c r="A260" s="2">
        <v>44391.598946759259</v>
      </c>
      <c r="B260" t="s">
        <v>262</v>
      </c>
      <c r="C260" t="s">
        <v>1479</v>
      </c>
      <c r="D260" t="s">
        <v>2256</v>
      </c>
      <c r="E260" t="s">
        <v>2596</v>
      </c>
      <c r="F260" t="str">
        <f>HYPERLINK("https://vsd.vn/vi/ad/143224","Link")</f>
        <v>Link</v>
      </c>
    </row>
    <row r="261" spans="1:6" x14ac:dyDescent="0.25">
      <c r="A261" s="2">
        <v>44391.598402777781</v>
      </c>
      <c r="B261" t="s">
        <v>263</v>
      </c>
      <c r="C261" t="s">
        <v>1608</v>
      </c>
      <c r="D261" t="s">
        <v>2271</v>
      </c>
      <c r="E261" t="s">
        <v>2597</v>
      </c>
      <c r="F261" t="str">
        <f>HYPERLINK("https://vsd.vn/vi/ad/143225","Link")</f>
        <v>Link</v>
      </c>
    </row>
    <row r="262" spans="1:6" x14ac:dyDescent="0.25">
      <c r="A262" s="2">
        <v>44391.443981481483</v>
      </c>
      <c r="B262" t="s">
        <v>264</v>
      </c>
      <c r="C262" t="s">
        <v>1479</v>
      </c>
      <c r="D262" t="s">
        <v>2273</v>
      </c>
      <c r="E262" t="s">
        <v>2598</v>
      </c>
      <c r="F262" t="str">
        <f>HYPERLINK("https://vsd.vn/vi/ad/143221","Link")</f>
        <v>Link</v>
      </c>
    </row>
    <row r="263" spans="1:6" x14ac:dyDescent="0.25">
      <c r="A263" s="2">
        <v>44391.442962962959</v>
      </c>
      <c r="B263" t="s">
        <v>265</v>
      </c>
      <c r="C263" t="s">
        <v>1470</v>
      </c>
      <c r="D263" t="s">
        <v>2267</v>
      </c>
      <c r="F263" t="str">
        <f>HYPERLINK("https://vsd.vn/vi/ad/143220","Link")</f>
        <v>Link</v>
      </c>
    </row>
    <row r="264" spans="1:6" x14ac:dyDescent="0.25">
      <c r="A264" s="2">
        <v>44391.409861111111</v>
      </c>
      <c r="B264" t="s">
        <v>266</v>
      </c>
      <c r="C264" t="s">
        <v>1467</v>
      </c>
      <c r="D264" t="s">
        <v>2273</v>
      </c>
      <c r="E264" t="s">
        <v>2599</v>
      </c>
      <c r="F264" t="str">
        <f>HYPERLINK("https://vsd.vn/vi/ad/143213","Link")</f>
        <v>Link</v>
      </c>
    </row>
    <row r="265" spans="1:6" x14ac:dyDescent="0.25">
      <c r="A265" s="2">
        <v>44391.380995370368</v>
      </c>
      <c r="B265" t="s">
        <v>267</v>
      </c>
      <c r="C265" t="s">
        <v>1609</v>
      </c>
      <c r="D265" t="s">
        <v>2271</v>
      </c>
      <c r="E265" t="s">
        <v>2575</v>
      </c>
      <c r="F265" t="str">
        <f>HYPERLINK("https://vsd.vn/vi/ad/143214","Link")</f>
        <v>Link</v>
      </c>
    </row>
    <row r="266" spans="1:6" x14ac:dyDescent="0.25">
      <c r="A266" s="2">
        <v>44390.76358796296</v>
      </c>
      <c r="B266" t="s">
        <v>268</v>
      </c>
      <c r="C266" t="s">
        <v>1499</v>
      </c>
      <c r="D266" t="s">
        <v>2271</v>
      </c>
      <c r="F266" t="str">
        <f>HYPERLINK("https://vsd.vn/vi/ad/143196","Link")</f>
        <v>Link</v>
      </c>
    </row>
    <row r="267" spans="1:6" x14ac:dyDescent="0.25">
      <c r="A267" s="2">
        <v>44390.710381944453</v>
      </c>
      <c r="B267" t="s">
        <v>269</v>
      </c>
      <c r="F267" t="str">
        <f>HYPERLINK("https://vsd.vn/vi/ad/143194","Link")</f>
        <v>Link</v>
      </c>
    </row>
    <row r="268" spans="1:6" x14ac:dyDescent="0.25">
      <c r="A268" s="2">
        <v>44390.600173611107</v>
      </c>
      <c r="B268" t="s">
        <v>270</v>
      </c>
      <c r="C268" t="s">
        <v>1610</v>
      </c>
      <c r="D268" t="s">
        <v>2271</v>
      </c>
      <c r="E268" t="s">
        <v>2600</v>
      </c>
      <c r="F268" t="str">
        <f>HYPERLINK("https://vsd.vn/vi/ad/143182","Link")</f>
        <v>Link</v>
      </c>
    </row>
    <row r="269" spans="1:6" x14ac:dyDescent="0.25">
      <c r="A269" s="2">
        <v>44390.599826388891</v>
      </c>
      <c r="B269" t="s">
        <v>271</v>
      </c>
      <c r="C269" t="s">
        <v>1611</v>
      </c>
      <c r="D269" t="s">
        <v>2271</v>
      </c>
      <c r="E269" t="s">
        <v>2601</v>
      </c>
      <c r="F269" t="str">
        <f>HYPERLINK("https://vsd.vn/vi/ad/143183","Link")</f>
        <v>Link</v>
      </c>
    </row>
    <row r="270" spans="1:6" x14ac:dyDescent="0.25">
      <c r="A270" s="2">
        <v>44390.599247685182</v>
      </c>
      <c r="B270" t="s">
        <v>272</v>
      </c>
      <c r="E270" t="s">
        <v>2602</v>
      </c>
      <c r="F270" t="str">
        <f>HYPERLINK("https://vsd.vn/vi/ad/143188","Link")</f>
        <v>Link</v>
      </c>
    </row>
    <row r="271" spans="1:6" x14ac:dyDescent="0.25">
      <c r="A271" s="2">
        <v>44390.463541666657</v>
      </c>
      <c r="B271" t="s">
        <v>273</v>
      </c>
      <c r="C271" t="s">
        <v>1477</v>
      </c>
      <c r="D271" t="s">
        <v>2268</v>
      </c>
      <c r="E271" t="s">
        <v>2558</v>
      </c>
      <c r="F271" t="str">
        <f>HYPERLINK("https://vsd.vn/vi/ad/143184","Link")</f>
        <v>Link</v>
      </c>
    </row>
    <row r="272" spans="1:6" x14ac:dyDescent="0.25">
      <c r="A272" s="2">
        <v>44390.46303240741</v>
      </c>
      <c r="B272" t="s">
        <v>274</v>
      </c>
      <c r="C272" t="s">
        <v>1612</v>
      </c>
      <c r="D272" t="s">
        <v>2273</v>
      </c>
      <c r="E272" t="s">
        <v>2594</v>
      </c>
      <c r="F272" t="str">
        <f>HYPERLINK("https://vsd.vn/vi/ad/143185","Link")</f>
        <v>Link</v>
      </c>
    </row>
    <row r="273" spans="1:6" x14ac:dyDescent="0.25">
      <c r="A273" s="2">
        <v>44390.441168981481</v>
      </c>
      <c r="B273" t="s">
        <v>275</v>
      </c>
      <c r="C273" t="s">
        <v>1467</v>
      </c>
      <c r="D273" t="s">
        <v>2273</v>
      </c>
      <c r="E273" t="s">
        <v>2569</v>
      </c>
      <c r="F273" t="str">
        <f>HYPERLINK("https://vsd.vn/vi/ad/143179","Link")</f>
        <v>Link</v>
      </c>
    </row>
    <row r="274" spans="1:6" x14ac:dyDescent="0.25">
      <c r="A274" s="2">
        <v>44390.440752314818</v>
      </c>
      <c r="B274" t="s">
        <v>276</v>
      </c>
      <c r="C274" t="s">
        <v>1613</v>
      </c>
      <c r="D274" t="s">
        <v>2271</v>
      </c>
      <c r="F274" t="str">
        <f>HYPERLINK("https://vsd.vn/vi/ad/143177","Link")</f>
        <v>Link</v>
      </c>
    </row>
    <row r="275" spans="1:6" x14ac:dyDescent="0.25">
      <c r="A275" s="2">
        <v>44390.440138888887</v>
      </c>
      <c r="B275" t="s">
        <v>277</v>
      </c>
      <c r="C275" t="s">
        <v>1614</v>
      </c>
      <c r="D275" t="s">
        <v>2274</v>
      </c>
      <c r="F275" t="str">
        <f>HYPERLINK("https://vsd.vn/vi/ad/143180","Link")</f>
        <v>Link</v>
      </c>
    </row>
    <row r="276" spans="1:6" x14ac:dyDescent="0.25">
      <c r="A276" s="2">
        <v>44390.426747685182</v>
      </c>
      <c r="B276" t="s">
        <v>278</v>
      </c>
      <c r="C276" t="s">
        <v>1468</v>
      </c>
      <c r="D276" t="s">
        <v>2274</v>
      </c>
      <c r="E276" t="s">
        <v>2603</v>
      </c>
      <c r="F276" t="str">
        <f>HYPERLINK("https://vsd.vn/vi/ad/143178","Link")</f>
        <v>Link</v>
      </c>
    </row>
    <row r="277" spans="1:6" x14ac:dyDescent="0.25">
      <c r="A277" s="2">
        <v>44390.344131944446</v>
      </c>
      <c r="B277" t="s">
        <v>279</v>
      </c>
      <c r="C277" t="s">
        <v>1615</v>
      </c>
      <c r="D277" t="s">
        <v>2274</v>
      </c>
      <c r="E277" t="s">
        <v>2604</v>
      </c>
      <c r="F277" t="str">
        <f>HYPERLINK("https://vsd.vn/vi/ad/143175","Link")</f>
        <v>Link</v>
      </c>
    </row>
    <row r="278" spans="1:6" x14ac:dyDescent="0.25">
      <c r="A278" s="2">
        <v>44390.331145833326</v>
      </c>
      <c r="B278" t="s">
        <v>280</v>
      </c>
      <c r="C278" t="s">
        <v>1545</v>
      </c>
      <c r="D278" t="s">
        <v>2275</v>
      </c>
      <c r="E278" t="s">
        <v>2605</v>
      </c>
      <c r="F278" t="str">
        <f>HYPERLINK("https://vsd.vn/vi/ad/143166","Link")</f>
        <v>Link</v>
      </c>
    </row>
    <row r="279" spans="1:6" x14ac:dyDescent="0.25">
      <c r="A279" s="2">
        <v>44389.693368055552</v>
      </c>
      <c r="B279" t="s">
        <v>281</v>
      </c>
      <c r="C279" t="s">
        <v>1494</v>
      </c>
      <c r="D279" t="s">
        <v>2273</v>
      </c>
      <c r="E279" t="s">
        <v>2606</v>
      </c>
      <c r="F279" t="str">
        <f>HYPERLINK("https://vsd.vn/vi/ad/143167","Link")</f>
        <v>Link</v>
      </c>
    </row>
    <row r="280" spans="1:6" x14ac:dyDescent="0.25">
      <c r="A280" s="2">
        <v>44386.75</v>
      </c>
      <c r="B280" t="s">
        <v>282</v>
      </c>
      <c r="C280" t="s">
        <v>1616</v>
      </c>
      <c r="D280" t="s">
        <v>2276</v>
      </c>
      <c r="F280" t="str">
        <f>HYPERLINK("https://vsd.vn/vi/ad/143130","Link")</f>
        <v>Link</v>
      </c>
    </row>
    <row r="281" spans="1:6" x14ac:dyDescent="0.25">
      <c r="A281" s="2">
        <v>44386.730555555558</v>
      </c>
      <c r="B281" t="s">
        <v>283</v>
      </c>
      <c r="C281" t="s">
        <v>1617</v>
      </c>
      <c r="D281" t="s">
        <v>2263</v>
      </c>
      <c r="E281" t="s">
        <v>2607</v>
      </c>
      <c r="F281" t="str">
        <f>HYPERLINK("https://vsd.vn/vi/ad/143152","Link")</f>
        <v>Link</v>
      </c>
    </row>
    <row r="282" spans="1:6" x14ac:dyDescent="0.25">
      <c r="A282" s="2">
        <v>44386.729861111111</v>
      </c>
      <c r="B282" t="s">
        <v>284</v>
      </c>
      <c r="C282" t="s">
        <v>1618</v>
      </c>
      <c r="D282" t="s">
        <v>2274</v>
      </c>
      <c r="F282" t="str">
        <f>HYPERLINK("https://vsd.vn/vi/ad/143153","Link")</f>
        <v>Link</v>
      </c>
    </row>
    <row r="283" spans="1:6" x14ac:dyDescent="0.25">
      <c r="A283" s="2">
        <v>44386.715798611112</v>
      </c>
      <c r="B283" t="s">
        <v>285</v>
      </c>
      <c r="C283" t="s">
        <v>1619</v>
      </c>
      <c r="D283" t="s">
        <v>2266</v>
      </c>
      <c r="E283" t="s">
        <v>2583</v>
      </c>
      <c r="F283" t="str">
        <f>HYPERLINK("https://vsd.vn/vi/ad/143132","Link")</f>
        <v>Link</v>
      </c>
    </row>
    <row r="284" spans="1:6" x14ac:dyDescent="0.25">
      <c r="A284" s="2">
        <v>44386.695856481478</v>
      </c>
      <c r="B284" t="s">
        <v>286</v>
      </c>
      <c r="F284" t="str">
        <f>HYPERLINK("https://vsd.vn/vi/ad/143129","Link")</f>
        <v>Link</v>
      </c>
    </row>
    <row r="285" spans="1:6" x14ac:dyDescent="0.25">
      <c r="A285" s="2">
        <v>44386.685335648152</v>
      </c>
      <c r="B285" t="s">
        <v>287</v>
      </c>
      <c r="C285" t="s">
        <v>1620</v>
      </c>
      <c r="D285" t="s">
        <v>2277</v>
      </c>
      <c r="F285" t="str">
        <f>HYPERLINK("https://vsd.vn/vi/ad/143127","Link")</f>
        <v>Link</v>
      </c>
    </row>
    <row r="286" spans="1:6" x14ac:dyDescent="0.25">
      <c r="A286" s="2">
        <v>44386.671840277777</v>
      </c>
      <c r="B286" t="s">
        <v>288</v>
      </c>
      <c r="C286" t="s">
        <v>1621</v>
      </c>
      <c r="D286" t="s">
        <v>2273</v>
      </c>
      <c r="E286" t="s">
        <v>2608</v>
      </c>
      <c r="F286" t="str">
        <f>HYPERLINK("https://vsd.vn/vi/ad/143124","Link")</f>
        <v>Link</v>
      </c>
    </row>
    <row r="287" spans="1:6" x14ac:dyDescent="0.25">
      <c r="A287" s="2">
        <v>44386.669062499997</v>
      </c>
      <c r="B287" t="s">
        <v>289</v>
      </c>
      <c r="C287" t="s">
        <v>1479</v>
      </c>
      <c r="D287" t="s">
        <v>2273</v>
      </c>
      <c r="E287" t="s">
        <v>2609</v>
      </c>
      <c r="F287" t="str">
        <f>HYPERLINK("https://vsd.vn/vi/ad/143122","Link")</f>
        <v>Link</v>
      </c>
    </row>
    <row r="288" spans="1:6" x14ac:dyDescent="0.25">
      <c r="A288" s="2">
        <v>44386.666377314818</v>
      </c>
      <c r="B288" t="s">
        <v>290</v>
      </c>
      <c r="C288" t="s">
        <v>1622</v>
      </c>
      <c r="D288" t="s">
        <v>2277</v>
      </c>
      <c r="E288" t="s">
        <v>2610</v>
      </c>
      <c r="F288" t="str">
        <f>HYPERLINK("https://vsd.vn/vi/ad/143125","Link")</f>
        <v>Link</v>
      </c>
    </row>
    <row r="289" spans="1:6" x14ac:dyDescent="0.25">
      <c r="A289" s="2">
        <v>44386.635694444441</v>
      </c>
      <c r="B289" t="s">
        <v>291</v>
      </c>
      <c r="F289" t="str">
        <f>HYPERLINK("https://vsd.vn/vi/ad/143112","Link")</f>
        <v>Link</v>
      </c>
    </row>
    <row r="290" spans="1:6" x14ac:dyDescent="0.25">
      <c r="A290" s="2">
        <v>44386.635081018518</v>
      </c>
      <c r="B290" t="s">
        <v>292</v>
      </c>
      <c r="C290" t="s">
        <v>1623</v>
      </c>
      <c r="D290" t="s">
        <v>2277</v>
      </c>
      <c r="E290" t="s">
        <v>2603</v>
      </c>
      <c r="F290" t="str">
        <f>HYPERLINK("https://vsd.vn/vi/ad/143111","Link")</f>
        <v>Link</v>
      </c>
    </row>
    <row r="291" spans="1:6" x14ac:dyDescent="0.25">
      <c r="A291" s="2">
        <v>44386.610011574077</v>
      </c>
      <c r="B291" t="s">
        <v>293</v>
      </c>
      <c r="E291" t="s">
        <v>2611</v>
      </c>
      <c r="F291" t="str">
        <f>HYPERLINK("https://vsd.vn/vi/ad/143110","Link")</f>
        <v>Link</v>
      </c>
    </row>
    <row r="292" spans="1:6" x14ac:dyDescent="0.25">
      <c r="A292" s="2">
        <v>44386.431319444448</v>
      </c>
      <c r="B292" t="s">
        <v>294</v>
      </c>
      <c r="C292" t="s">
        <v>1624</v>
      </c>
      <c r="D292" t="s">
        <v>2276</v>
      </c>
      <c r="F292" t="str">
        <f>HYPERLINK("https://vsd.vn/vi/ad/143102","Link")</f>
        <v>Link</v>
      </c>
    </row>
    <row r="293" spans="1:6" x14ac:dyDescent="0.25">
      <c r="A293" s="2">
        <v>44386.425266203703</v>
      </c>
      <c r="B293" t="s">
        <v>295</v>
      </c>
      <c r="C293" t="s">
        <v>1625</v>
      </c>
      <c r="D293" t="s">
        <v>2278</v>
      </c>
      <c r="E293" t="s">
        <v>2594</v>
      </c>
      <c r="F293" t="str">
        <f>HYPERLINK("https://vsd.vn/vi/ad/143101","Link")</f>
        <v>Link</v>
      </c>
    </row>
    <row r="294" spans="1:6" x14ac:dyDescent="0.25">
      <c r="A294" s="2">
        <v>44385.707106481481</v>
      </c>
      <c r="B294" t="s">
        <v>296</v>
      </c>
      <c r="C294" t="s">
        <v>1626</v>
      </c>
      <c r="D294" t="s">
        <v>2277</v>
      </c>
      <c r="E294" t="s">
        <v>2612</v>
      </c>
      <c r="F294" t="str">
        <f>HYPERLINK("https://vsd.vn/vi/ad/143095","Link")</f>
        <v>Link</v>
      </c>
    </row>
    <row r="295" spans="1:6" x14ac:dyDescent="0.25">
      <c r="A295" s="2">
        <v>44385.705231481479</v>
      </c>
      <c r="B295" t="s">
        <v>297</v>
      </c>
      <c r="C295" t="s">
        <v>1627</v>
      </c>
      <c r="D295" t="s">
        <v>2271</v>
      </c>
      <c r="E295" t="s">
        <v>2613</v>
      </c>
      <c r="F295" t="str">
        <f>HYPERLINK("https://vsd.vn/vi/ad/143089","Link")</f>
        <v>Link</v>
      </c>
    </row>
    <row r="296" spans="1:6" x14ac:dyDescent="0.25">
      <c r="A296" s="2">
        <v>44385.701319444437</v>
      </c>
      <c r="B296" t="s">
        <v>298</v>
      </c>
      <c r="C296" t="s">
        <v>1628</v>
      </c>
      <c r="D296" t="s">
        <v>2271</v>
      </c>
      <c r="E296" t="s">
        <v>2603</v>
      </c>
      <c r="F296" t="str">
        <f>HYPERLINK("https://vsd.vn/vi/ad/143094","Link")</f>
        <v>Link</v>
      </c>
    </row>
    <row r="297" spans="1:6" x14ac:dyDescent="0.25">
      <c r="A297" s="2">
        <v>44385.669791666667</v>
      </c>
      <c r="B297" t="s">
        <v>299</v>
      </c>
      <c r="C297" t="s">
        <v>1629</v>
      </c>
      <c r="D297" t="s">
        <v>2276</v>
      </c>
      <c r="F297" t="str">
        <f>HYPERLINK("https://vsd.vn/vi/ad/143093","Link")</f>
        <v>Link</v>
      </c>
    </row>
    <row r="298" spans="1:6" x14ac:dyDescent="0.25">
      <c r="A298" s="2">
        <v>44385.507685185177</v>
      </c>
      <c r="B298" t="s">
        <v>300</v>
      </c>
      <c r="C298" t="s">
        <v>1630</v>
      </c>
      <c r="D298" t="s">
        <v>2276</v>
      </c>
      <c r="F298" t="str">
        <f>HYPERLINK("https://vsd.vn/vi/ad/143088","Link")</f>
        <v>Link</v>
      </c>
    </row>
    <row r="299" spans="1:6" x14ac:dyDescent="0.25">
      <c r="A299" s="2">
        <v>44385.461631944447</v>
      </c>
      <c r="B299" t="s">
        <v>301</v>
      </c>
      <c r="C299" t="s">
        <v>1631</v>
      </c>
      <c r="D299" t="s">
        <v>2276</v>
      </c>
      <c r="E299" t="s">
        <v>2579</v>
      </c>
      <c r="F299" t="str">
        <f>HYPERLINK("https://vsd.vn/vi/ad/143080","Link")</f>
        <v>Link</v>
      </c>
    </row>
    <row r="300" spans="1:6" x14ac:dyDescent="0.25">
      <c r="A300" s="2">
        <v>44385.460416666669</v>
      </c>
      <c r="B300" t="s">
        <v>302</v>
      </c>
      <c r="C300" t="s">
        <v>1467</v>
      </c>
      <c r="D300" t="s">
        <v>2277</v>
      </c>
      <c r="E300" t="s">
        <v>2614</v>
      </c>
      <c r="F300" t="str">
        <f>HYPERLINK("https://vsd.vn/vi/ad/143081","Link")</f>
        <v>Link</v>
      </c>
    </row>
    <row r="301" spans="1:6" x14ac:dyDescent="0.25">
      <c r="A301" s="2">
        <v>44384.648310185177</v>
      </c>
      <c r="B301" t="s">
        <v>303</v>
      </c>
      <c r="C301" t="s">
        <v>1632</v>
      </c>
      <c r="D301" t="s">
        <v>2278</v>
      </c>
      <c r="E301" t="s">
        <v>2615</v>
      </c>
      <c r="F301" t="str">
        <f>HYPERLINK("https://vsd.vn/vi/ad/143065","Link")</f>
        <v>Link</v>
      </c>
    </row>
    <row r="302" spans="1:6" x14ac:dyDescent="0.25">
      <c r="A302" s="2">
        <v>44384.647638888891</v>
      </c>
      <c r="B302" t="s">
        <v>304</v>
      </c>
      <c r="E302" t="s">
        <v>2616</v>
      </c>
      <c r="F302" t="str">
        <f>HYPERLINK("https://vsd.vn/vi/ad/143064","Link")</f>
        <v>Link</v>
      </c>
    </row>
    <row r="303" spans="1:6" x14ac:dyDescent="0.25">
      <c r="A303" s="2">
        <v>44384.638124999998</v>
      </c>
      <c r="B303" t="s">
        <v>305</v>
      </c>
      <c r="C303" t="s">
        <v>1467</v>
      </c>
      <c r="D303" t="s">
        <v>2276</v>
      </c>
      <c r="E303" t="s">
        <v>2603</v>
      </c>
      <c r="F303" t="str">
        <f>HYPERLINK("https://vsd.vn/vi/ad/143062","Link")</f>
        <v>Link</v>
      </c>
    </row>
    <row r="304" spans="1:6" x14ac:dyDescent="0.25">
      <c r="A304" s="2">
        <v>44384.457118055558</v>
      </c>
      <c r="B304" t="s">
        <v>306</v>
      </c>
      <c r="C304" t="s">
        <v>1633</v>
      </c>
      <c r="D304" t="s">
        <v>2277</v>
      </c>
      <c r="E304" t="s">
        <v>2510</v>
      </c>
      <c r="F304" t="str">
        <f>HYPERLINK("https://vsd.vn/vi/ad/143058","Link")</f>
        <v>Link</v>
      </c>
    </row>
    <row r="305" spans="1:6" x14ac:dyDescent="0.25">
      <c r="A305" s="2">
        <v>44384.443414351852</v>
      </c>
      <c r="B305" t="s">
        <v>307</v>
      </c>
      <c r="C305" t="s">
        <v>1634</v>
      </c>
      <c r="D305" t="s">
        <v>2279</v>
      </c>
      <c r="E305" t="s">
        <v>2617</v>
      </c>
      <c r="F305" t="str">
        <f>HYPERLINK("https://vsd.vn/vi/ad/143038","Link")</f>
        <v>Link</v>
      </c>
    </row>
    <row r="306" spans="1:6" x14ac:dyDescent="0.25">
      <c r="A306" s="2">
        <v>44384.442962962959</v>
      </c>
      <c r="B306" t="s">
        <v>308</v>
      </c>
      <c r="C306" t="s">
        <v>1635</v>
      </c>
      <c r="D306" t="s">
        <v>2278</v>
      </c>
      <c r="E306" t="s">
        <v>2618</v>
      </c>
      <c r="F306" t="str">
        <f>HYPERLINK("https://vsd.vn/vi/ad/143053","Link")</f>
        <v>Link</v>
      </c>
    </row>
    <row r="307" spans="1:6" x14ac:dyDescent="0.25">
      <c r="A307" s="2">
        <v>44384.440023148149</v>
      </c>
      <c r="B307" t="s">
        <v>309</v>
      </c>
      <c r="C307" t="s">
        <v>1468</v>
      </c>
      <c r="D307" t="s">
        <v>2260</v>
      </c>
      <c r="E307" t="s">
        <v>2619</v>
      </c>
      <c r="F307" t="str">
        <f>HYPERLINK("https://vsd.vn/vi/ad/143055","Link")</f>
        <v>Link</v>
      </c>
    </row>
    <row r="308" spans="1:6" x14ac:dyDescent="0.25">
      <c r="A308" s="2">
        <v>44384.439027777778</v>
      </c>
      <c r="B308" t="s">
        <v>310</v>
      </c>
      <c r="C308" t="s">
        <v>1636</v>
      </c>
      <c r="D308" t="s">
        <v>2280</v>
      </c>
      <c r="E308" t="s">
        <v>2620</v>
      </c>
      <c r="F308" t="str">
        <f>HYPERLINK("https://vsd.vn/vi/ad/143054","Link")</f>
        <v>Link</v>
      </c>
    </row>
    <row r="309" spans="1:6" x14ac:dyDescent="0.25">
      <c r="A309" s="2">
        <v>44384.364247685182</v>
      </c>
      <c r="B309" t="s">
        <v>311</v>
      </c>
      <c r="C309" t="s">
        <v>1468</v>
      </c>
      <c r="D309" t="s">
        <v>2276</v>
      </c>
      <c r="E309" t="s">
        <v>2600</v>
      </c>
      <c r="F309" t="str">
        <f>HYPERLINK("https://vsd.vn/vi/ad/143045","Link")</f>
        <v>Link</v>
      </c>
    </row>
    <row r="310" spans="1:6" x14ac:dyDescent="0.25">
      <c r="A310" s="2">
        <v>44383.446574074071</v>
      </c>
      <c r="B310" t="s">
        <v>312</v>
      </c>
      <c r="C310" t="s">
        <v>1467</v>
      </c>
      <c r="D310" t="s">
        <v>2271</v>
      </c>
      <c r="E310" t="s">
        <v>2621</v>
      </c>
      <c r="F310" t="str">
        <f>HYPERLINK("https://vsd.vn/vi/ad/143011","Link")</f>
        <v>Link</v>
      </c>
    </row>
    <row r="311" spans="1:6" x14ac:dyDescent="0.25">
      <c r="A311" s="2">
        <v>44383.369085648148</v>
      </c>
      <c r="B311" t="s">
        <v>313</v>
      </c>
      <c r="C311" t="s">
        <v>1637</v>
      </c>
      <c r="D311" t="s">
        <v>2279</v>
      </c>
      <c r="F311" t="str">
        <f>HYPERLINK("https://vsd.vn/vi/ad/143005","Link")</f>
        <v>Link</v>
      </c>
    </row>
    <row r="312" spans="1:6" x14ac:dyDescent="0.25">
      <c r="A312" s="2">
        <v>44383.36824074074</v>
      </c>
      <c r="B312" t="s">
        <v>314</v>
      </c>
      <c r="C312" t="s">
        <v>1638</v>
      </c>
      <c r="D312" t="s">
        <v>2275</v>
      </c>
      <c r="E312" t="s">
        <v>2622</v>
      </c>
      <c r="F312" t="str">
        <f>HYPERLINK("https://vsd.vn/vi/ad/143007","Link")</f>
        <v>Link</v>
      </c>
    </row>
    <row r="313" spans="1:6" x14ac:dyDescent="0.25">
      <c r="A313" s="2">
        <v>44382.679629629631</v>
      </c>
      <c r="B313" t="s">
        <v>315</v>
      </c>
      <c r="C313" t="s">
        <v>1639</v>
      </c>
      <c r="D313" t="s">
        <v>2278</v>
      </c>
      <c r="E313" t="s">
        <v>2612</v>
      </c>
      <c r="F313" t="str">
        <f>HYPERLINK("https://vsd.vn/vi/ad/142990","Link")</f>
        <v>Link</v>
      </c>
    </row>
    <row r="314" spans="1:6" x14ac:dyDescent="0.25">
      <c r="A314" s="2">
        <v>44382.650057870371</v>
      </c>
      <c r="B314" t="s">
        <v>316</v>
      </c>
      <c r="C314" t="s">
        <v>1640</v>
      </c>
      <c r="D314" t="s">
        <v>2271</v>
      </c>
      <c r="E314" t="s">
        <v>2623</v>
      </c>
      <c r="F314" t="str">
        <f>HYPERLINK("https://vsd.vn/vi/ad/142995","Link")</f>
        <v>Link</v>
      </c>
    </row>
    <row r="315" spans="1:6" x14ac:dyDescent="0.25">
      <c r="A315" s="2">
        <v>44382.648912037039</v>
      </c>
      <c r="B315" t="s">
        <v>317</v>
      </c>
      <c r="C315" t="s">
        <v>1641</v>
      </c>
      <c r="D315" t="s">
        <v>2271</v>
      </c>
      <c r="E315" t="s">
        <v>2587</v>
      </c>
      <c r="F315" t="str">
        <f>HYPERLINK("https://vsd.vn/vi/ad/142994","Link")</f>
        <v>Link</v>
      </c>
    </row>
    <row r="316" spans="1:6" x14ac:dyDescent="0.25">
      <c r="A316" s="2">
        <v>44382.648148148153</v>
      </c>
      <c r="B316" t="s">
        <v>318</v>
      </c>
      <c r="C316" t="s">
        <v>1642</v>
      </c>
      <c r="D316" t="s">
        <v>2276</v>
      </c>
      <c r="E316" t="s">
        <v>2493</v>
      </c>
      <c r="F316" t="str">
        <f>HYPERLINK("https://vsd.vn/vi/ad/142992","Link")</f>
        <v>Link</v>
      </c>
    </row>
    <row r="317" spans="1:6" x14ac:dyDescent="0.25">
      <c r="A317" s="2">
        <v>44382.596921296303</v>
      </c>
      <c r="B317" t="s">
        <v>319</v>
      </c>
      <c r="C317" t="s">
        <v>1643</v>
      </c>
      <c r="D317" t="s">
        <v>2278</v>
      </c>
      <c r="E317" t="s">
        <v>2624</v>
      </c>
      <c r="F317" t="str">
        <f>HYPERLINK("https://vsd.vn/vi/ad/142991","Link")</f>
        <v>Link</v>
      </c>
    </row>
    <row r="318" spans="1:6" x14ac:dyDescent="0.25">
      <c r="A318" s="2">
        <v>44379.753460648149</v>
      </c>
      <c r="B318" t="s">
        <v>320</v>
      </c>
      <c r="C318" t="s">
        <v>1479</v>
      </c>
      <c r="D318" t="s">
        <v>2277</v>
      </c>
      <c r="E318" t="s">
        <v>2595</v>
      </c>
      <c r="F318" t="str">
        <f>HYPERLINK("https://vsd.vn/vi/ad/142982","Link")</f>
        <v>Link</v>
      </c>
    </row>
    <row r="319" spans="1:6" x14ac:dyDescent="0.25">
      <c r="A319" s="2">
        <v>44379.72515046296</v>
      </c>
      <c r="B319" t="s">
        <v>321</v>
      </c>
      <c r="C319" t="s">
        <v>1644</v>
      </c>
      <c r="D319" t="s">
        <v>2279</v>
      </c>
      <c r="E319" t="s">
        <v>2618</v>
      </c>
      <c r="F319" t="str">
        <f>HYPERLINK("https://vsd.vn/vi/ad/142977","Link")</f>
        <v>Link</v>
      </c>
    </row>
    <row r="320" spans="1:6" x14ac:dyDescent="0.25">
      <c r="A320" s="2">
        <v>44379.724236111113</v>
      </c>
      <c r="B320" t="s">
        <v>322</v>
      </c>
      <c r="C320" t="s">
        <v>1467</v>
      </c>
      <c r="D320" t="s">
        <v>2278</v>
      </c>
      <c r="E320" t="s">
        <v>2625</v>
      </c>
      <c r="F320" t="str">
        <f>HYPERLINK("https://vsd.vn/vi/ad/142978","Link")</f>
        <v>Link</v>
      </c>
    </row>
    <row r="321" spans="1:6" x14ac:dyDescent="0.25">
      <c r="A321" s="2">
        <v>44379.719201388893</v>
      </c>
      <c r="B321" t="s">
        <v>323</v>
      </c>
      <c r="C321" t="s">
        <v>1645</v>
      </c>
      <c r="D321" t="s">
        <v>2266</v>
      </c>
      <c r="F321" t="str">
        <f>HYPERLINK("https://vsd.vn/vi/ad/142941","Link")</f>
        <v>Link</v>
      </c>
    </row>
    <row r="322" spans="1:6" x14ac:dyDescent="0.25">
      <c r="A322" s="2">
        <v>44379.714780092603</v>
      </c>
      <c r="B322" t="s">
        <v>324</v>
      </c>
      <c r="C322" t="s">
        <v>1646</v>
      </c>
      <c r="D322" t="s">
        <v>2276</v>
      </c>
      <c r="E322" t="s">
        <v>2603</v>
      </c>
      <c r="F322" t="str">
        <f>HYPERLINK("https://vsd.vn/vi/ad/142974","Link")</f>
        <v>Link</v>
      </c>
    </row>
    <row r="323" spans="1:6" x14ac:dyDescent="0.25">
      <c r="A323" s="2">
        <v>44379.710972222223</v>
      </c>
      <c r="B323" t="s">
        <v>325</v>
      </c>
      <c r="C323" t="s">
        <v>1630</v>
      </c>
      <c r="D323" t="s">
        <v>2279</v>
      </c>
      <c r="F323" t="str">
        <f>HYPERLINK("https://vsd.vn/vi/ad/142975","Link")</f>
        <v>Link</v>
      </c>
    </row>
    <row r="324" spans="1:6" x14ac:dyDescent="0.25">
      <c r="A324" s="2">
        <v>44379.701273148137</v>
      </c>
      <c r="B324" t="s">
        <v>326</v>
      </c>
      <c r="C324" t="s">
        <v>1477</v>
      </c>
      <c r="D324" t="s">
        <v>2278</v>
      </c>
      <c r="E324" t="s">
        <v>2626</v>
      </c>
      <c r="F324" t="str">
        <f>HYPERLINK("https://vsd.vn/vi/ad/142955","Link")</f>
        <v>Link</v>
      </c>
    </row>
    <row r="325" spans="1:6" x14ac:dyDescent="0.25">
      <c r="A325" s="2">
        <v>44379.695069444453</v>
      </c>
      <c r="B325" t="s">
        <v>327</v>
      </c>
      <c r="C325" t="s">
        <v>1467</v>
      </c>
      <c r="D325" t="s">
        <v>2281</v>
      </c>
      <c r="E325" t="s">
        <v>2627</v>
      </c>
      <c r="F325" t="str">
        <f>HYPERLINK("https://vsd.vn/vi/ad/142946","Link")</f>
        <v>Link</v>
      </c>
    </row>
    <row r="326" spans="1:6" x14ac:dyDescent="0.25">
      <c r="A326" s="2">
        <v>44379.669305555559</v>
      </c>
      <c r="B326" t="s">
        <v>328</v>
      </c>
      <c r="C326" t="s">
        <v>1647</v>
      </c>
      <c r="D326" t="s">
        <v>2274</v>
      </c>
      <c r="E326" t="s">
        <v>2628</v>
      </c>
      <c r="F326" t="str">
        <f>HYPERLINK("https://vsd.vn/vi/ad/142956","Link")</f>
        <v>Link</v>
      </c>
    </row>
    <row r="327" spans="1:6" x14ac:dyDescent="0.25">
      <c r="A327" s="2">
        <v>44379.637175925927</v>
      </c>
      <c r="B327" t="s">
        <v>329</v>
      </c>
      <c r="C327" t="s">
        <v>1494</v>
      </c>
      <c r="D327" t="s">
        <v>2278</v>
      </c>
      <c r="E327" t="s">
        <v>2603</v>
      </c>
      <c r="F327" t="str">
        <f>HYPERLINK("https://vsd.vn/vi/ad/142951","Link")</f>
        <v>Link</v>
      </c>
    </row>
    <row r="328" spans="1:6" x14ac:dyDescent="0.25">
      <c r="A328" s="2">
        <v>44379.590439814812</v>
      </c>
      <c r="B328" t="s">
        <v>330</v>
      </c>
      <c r="C328" t="s">
        <v>1508</v>
      </c>
      <c r="D328" t="s">
        <v>2279</v>
      </c>
      <c r="E328" t="s">
        <v>2629</v>
      </c>
      <c r="F328" t="str">
        <f>HYPERLINK("https://vsd.vn/vi/ad/142935","Link")</f>
        <v>Link</v>
      </c>
    </row>
    <row r="329" spans="1:6" x14ac:dyDescent="0.25">
      <c r="A329" s="2">
        <v>44379.580011574071</v>
      </c>
      <c r="B329" t="s">
        <v>331</v>
      </c>
      <c r="C329" t="s">
        <v>1648</v>
      </c>
      <c r="D329" t="s">
        <v>2278</v>
      </c>
      <c r="E329" t="s">
        <v>2600</v>
      </c>
      <c r="F329" t="str">
        <f>HYPERLINK("https://vsd.vn/vi/ad/142942","Link")</f>
        <v>Link</v>
      </c>
    </row>
    <row r="330" spans="1:6" x14ac:dyDescent="0.25">
      <c r="A330" s="2">
        <v>44379.574606481481</v>
      </c>
      <c r="B330" t="s">
        <v>332</v>
      </c>
      <c r="C330" t="s">
        <v>1468</v>
      </c>
      <c r="D330" t="s">
        <v>2280</v>
      </c>
      <c r="E330" t="s">
        <v>2595</v>
      </c>
      <c r="F330" t="str">
        <f>HYPERLINK("https://vsd.vn/vi/ad/142943","Link")</f>
        <v>Link</v>
      </c>
    </row>
    <row r="331" spans="1:6" x14ac:dyDescent="0.25">
      <c r="A331" s="2">
        <v>44379.573611111111</v>
      </c>
      <c r="B331" t="s">
        <v>333</v>
      </c>
      <c r="C331" t="s">
        <v>1649</v>
      </c>
      <c r="D331" t="s">
        <v>2282</v>
      </c>
      <c r="E331" t="s">
        <v>2630</v>
      </c>
      <c r="F331" t="str">
        <f>HYPERLINK("https://vsd.vn/vi/ad/142940","Link")</f>
        <v>Link</v>
      </c>
    </row>
    <row r="332" spans="1:6" x14ac:dyDescent="0.25">
      <c r="A332" s="2">
        <v>44379.389247685183</v>
      </c>
      <c r="B332" t="s">
        <v>334</v>
      </c>
      <c r="C332" t="s">
        <v>1650</v>
      </c>
      <c r="D332" t="s">
        <v>2282</v>
      </c>
      <c r="F332" t="str">
        <f>HYPERLINK("https://vsd.vn/vi/ad/142934","Link")</f>
        <v>Link</v>
      </c>
    </row>
    <row r="333" spans="1:6" x14ac:dyDescent="0.25">
      <c r="A333" s="2">
        <v>44379.369722222233</v>
      </c>
      <c r="B333" t="s">
        <v>335</v>
      </c>
      <c r="C333" t="s">
        <v>1564</v>
      </c>
      <c r="D333" t="s">
        <v>2280</v>
      </c>
      <c r="F333" t="str">
        <f>HYPERLINK("https://vsd.vn/vi/ad/142937","Link")</f>
        <v>Link</v>
      </c>
    </row>
    <row r="334" spans="1:6" x14ac:dyDescent="0.25">
      <c r="A334" s="2">
        <v>44379.340682870366</v>
      </c>
      <c r="B334" t="s">
        <v>336</v>
      </c>
      <c r="C334" t="s">
        <v>1651</v>
      </c>
      <c r="D334" t="s">
        <v>2281</v>
      </c>
      <c r="F334" t="str">
        <f>HYPERLINK("https://vsd.vn/vi/ad/142924","Link")</f>
        <v>Link</v>
      </c>
    </row>
    <row r="335" spans="1:6" x14ac:dyDescent="0.25">
      <c r="A335" s="2">
        <v>44379.339722222219</v>
      </c>
      <c r="B335" t="s">
        <v>337</v>
      </c>
      <c r="C335" t="s">
        <v>1484</v>
      </c>
      <c r="D335" t="s">
        <v>2276</v>
      </c>
      <c r="E335" t="s">
        <v>2631</v>
      </c>
      <c r="F335" t="str">
        <f>HYPERLINK("https://vsd.vn/vi/ad/142925","Link")</f>
        <v>Link</v>
      </c>
    </row>
    <row r="336" spans="1:6" x14ac:dyDescent="0.25">
      <c r="A336" s="2">
        <v>44378.652592592603</v>
      </c>
      <c r="B336" t="s">
        <v>338</v>
      </c>
      <c r="C336" t="s">
        <v>1652</v>
      </c>
      <c r="D336" t="s">
        <v>2282</v>
      </c>
      <c r="E336" t="s">
        <v>2632</v>
      </c>
      <c r="F336" t="str">
        <f>HYPERLINK("https://vsd.vn/vi/ad/142926","Link")</f>
        <v>Link</v>
      </c>
    </row>
    <row r="337" spans="1:6" x14ac:dyDescent="0.25">
      <c r="A337" s="2">
        <v>44378.631180555552</v>
      </c>
      <c r="B337" t="s">
        <v>339</v>
      </c>
      <c r="C337" t="s">
        <v>1653</v>
      </c>
      <c r="D337" t="s">
        <v>2282</v>
      </c>
      <c r="F337" t="str">
        <f>HYPERLINK("https://vsd.vn/vi/ad/142920","Link")</f>
        <v>Link</v>
      </c>
    </row>
    <row r="338" spans="1:6" x14ac:dyDescent="0.25">
      <c r="A338" s="2">
        <v>44378.478900462957</v>
      </c>
      <c r="B338" t="s">
        <v>340</v>
      </c>
      <c r="C338" t="s">
        <v>1654</v>
      </c>
      <c r="D338" t="s">
        <v>2278</v>
      </c>
      <c r="E338" t="s">
        <v>2633</v>
      </c>
      <c r="F338" t="str">
        <f>HYPERLINK("https://vsd.vn/vi/ad/142917","Link")</f>
        <v>Link</v>
      </c>
    </row>
    <row r="339" spans="1:6" x14ac:dyDescent="0.25">
      <c r="A339" s="2">
        <v>44378.478217592587</v>
      </c>
      <c r="B339" t="s">
        <v>341</v>
      </c>
      <c r="C339" t="s">
        <v>1655</v>
      </c>
      <c r="D339" t="s">
        <v>2278</v>
      </c>
      <c r="E339" t="s">
        <v>2634</v>
      </c>
      <c r="F339" t="str">
        <f>HYPERLINK("https://vsd.vn/vi/ad/142918","Link")</f>
        <v>Link</v>
      </c>
    </row>
    <row r="340" spans="1:6" x14ac:dyDescent="0.25">
      <c r="A340" s="2">
        <v>44377.660879629628</v>
      </c>
      <c r="B340" t="s">
        <v>342</v>
      </c>
      <c r="C340" t="s">
        <v>1656</v>
      </c>
      <c r="D340" t="s">
        <v>2278</v>
      </c>
      <c r="E340" t="s">
        <v>2635</v>
      </c>
      <c r="F340" t="str">
        <f>HYPERLINK("https://vsd.vn/vi/ad/142905","Link")</f>
        <v>Link</v>
      </c>
    </row>
    <row r="341" spans="1:6" x14ac:dyDescent="0.25">
      <c r="A341" s="2">
        <v>44377.658506944441</v>
      </c>
      <c r="B341" t="s">
        <v>343</v>
      </c>
      <c r="F341" t="str">
        <f>HYPERLINK("https://vsd.vn/vi/ad/142904","Link")</f>
        <v>Link</v>
      </c>
    </row>
    <row r="342" spans="1:6" x14ac:dyDescent="0.25">
      <c r="A342" s="2">
        <v>44377.635462962957</v>
      </c>
      <c r="B342" t="s">
        <v>344</v>
      </c>
      <c r="D342" t="s">
        <v>2280</v>
      </c>
      <c r="F342" t="str">
        <f>HYPERLINK("https://vsd.vn/vi/ad/142894","Link")</f>
        <v>Link</v>
      </c>
    </row>
    <row r="343" spans="1:6" x14ac:dyDescent="0.25">
      <c r="A343" s="2">
        <v>44377.621446759258</v>
      </c>
      <c r="B343" t="s">
        <v>345</v>
      </c>
      <c r="C343" t="s">
        <v>1657</v>
      </c>
      <c r="D343" t="s">
        <v>2283</v>
      </c>
      <c r="F343" t="str">
        <f>HYPERLINK("https://vsd.vn/vi/ad/142902","Link")</f>
        <v>Link</v>
      </c>
    </row>
    <row r="344" spans="1:6" x14ac:dyDescent="0.25">
      <c r="A344" s="2">
        <v>44377.578541666669</v>
      </c>
      <c r="B344" t="s">
        <v>346</v>
      </c>
      <c r="C344" t="s">
        <v>1479</v>
      </c>
      <c r="D344" t="s">
        <v>2282</v>
      </c>
      <c r="E344" t="s">
        <v>2632</v>
      </c>
      <c r="F344" t="str">
        <f>HYPERLINK("https://vsd.vn/vi/ad/142898","Link")</f>
        <v>Link</v>
      </c>
    </row>
    <row r="345" spans="1:6" x14ac:dyDescent="0.25">
      <c r="A345" s="2">
        <v>44377.577615740738</v>
      </c>
      <c r="B345" t="s">
        <v>347</v>
      </c>
      <c r="C345" t="s">
        <v>1494</v>
      </c>
      <c r="D345" t="s">
        <v>2276</v>
      </c>
      <c r="E345" t="s">
        <v>2636</v>
      </c>
      <c r="F345" t="str">
        <f>HYPERLINK("https://vsd.vn/vi/ad/142900","Link")</f>
        <v>Link</v>
      </c>
    </row>
    <row r="346" spans="1:6" x14ac:dyDescent="0.25">
      <c r="A346" s="2">
        <v>44377.467986111107</v>
      </c>
      <c r="B346" t="s">
        <v>348</v>
      </c>
      <c r="C346" t="s">
        <v>1658</v>
      </c>
      <c r="D346" t="s">
        <v>2279</v>
      </c>
      <c r="E346" t="s">
        <v>2617</v>
      </c>
      <c r="F346" t="str">
        <f>HYPERLINK("https://vsd.vn/vi/ad/142895","Link")</f>
        <v>Link</v>
      </c>
    </row>
    <row r="347" spans="1:6" x14ac:dyDescent="0.25">
      <c r="A347" s="2">
        <v>44377.352106481478</v>
      </c>
      <c r="B347" t="s">
        <v>349</v>
      </c>
      <c r="E347" t="s">
        <v>2637</v>
      </c>
      <c r="F347" t="str">
        <f>HYPERLINK("https://vsd.vn/vi/ad/142888","Link")</f>
        <v>Link</v>
      </c>
    </row>
    <row r="348" spans="1:6" x14ac:dyDescent="0.25">
      <c r="A348" s="2">
        <v>44377.351388888892</v>
      </c>
      <c r="B348" t="s">
        <v>350</v>
      </c>
      <c r="C348" t="s">
        <v>1659</v>
      </c>
      <c r="D348" t="s">
        <v>2273</v>
      </c>
      <c r="E348" t="s">
        <v>2638</v>
      </c>
      <c r="F348" t="str">
        <f>HYPERLINK("https://vsd.vn/vi/ad/142889","Link")</f>
        <v>Link</v>
      </c>
    </row>
    <row r="349" spans="1:6" x14ac:dyDescent="0.25">
      <c r="A349" s="2">
        <v>44376.733518518522</v>
      </c>
      <c r="B349" t="s">
        <v>351</v>
      </c>
      <c r="C349" t="s">
        <v>1660</v>
      </c>
      <c r="D349" t="s">
        <v>2280</v>
      </c>
      <c r="F349" t="str">
        <f>HYPERLINK("https://vsd.vn/vi/ad/142879","Link")</f>
        <v>Link</v>
      </c>
    </row>
    <row r="350" spans="1:6" x14ac:dyDescent="0.25">
      <c r="A350" s="2">
        <v>44376.707199074073</v>
      </c>
      <c r="B350" t="s">
        <v>352</v>
      </c>
      <c r="C350" t="s">
        <v>1661</v>
      </c>
      <c r="D350" t="s">
        <v>2279</v>
      </c>
      <c r="E350" t="s">
        <v>2617</v>
      </c>
      <c r="F350" t="str">
        <f>HYPERLINK("https://vsd.vn/vi/ad/142885","Link")</f>
        <v>Link</v>
      </c>
    </row>
    <row r="351" spans="1:6" x14ac:dyDescent="0.25">
      <c r="A351" s="2">
        <v>44376.698738425926</v>
      </c>
      <c r="B351" t="s">
        <v>353</v>
      </c>
      <c r="E351" t="s">
        <v>2639</v>
      </c>
      <c r="F351" t="str">
        <f>HYPERLINK("https://vsd.vn/vi/ad/142883","Link")</f>
        <v>Link</v>
      </c>
    </row>
    <row r="352" spans="1:6" x14ac:dyDescent="0.25">
      <c r="A352" s="2">
        <v>44376.678483796299</v>
      </c>
      <c r="B352" t="s">
        <v>354</v>
      </c>
      <c r="C352" t="s">
        <v>1479</v>
      </c>
      <c r="D352" t="s">
        <v>2281</v>
      </c>
      <c r="E352" t="s">
        <v>2617</v>
      </c>
      <c r="F352" t="str">
        <f>HYPERLINK("https://vsd.vn/vi/ad/142881","Link")</f>
        <v>Link</v>
      </c>
    </row>
    <row r="353" spans="1:6" x14ac:dyDescent="0.25">
      <c r="A353" s="2">
        <v>44376.67769675926</v>
      </c>
      <c r="B353" t="s">
        <v>355</v>
      </c>
      <c r="E353" t="s">
        <v>2640</v>
      </c>
      <c r="F353" t="str">
        <f>HYPERLINK("https://vsd.vn/vi/ad/142877","Link")</f>
        <v>Link</v>
      </c>
    </row>
    <row r="354" spans="1:6" x14ac:dyDescent="0.25">
      <c r="A354" s="2">
        <v>44376.590671296297</v>
      </c>
      <c r="B354" t="s">
        <v>356</v>
      </c>
      <c r="E354" t="s">
        <v>2641</v>
      </c>
      <c r="F354" t="str">
        <f>HYPERLINK("https://vsd.vn/vi/ad/142874","Link")</f>
        <v>Link</v>
      </c>
    </row>
    <row r="355" spans="1:6" x14ac:dyDescent="0.25">
      <c r="A355" s="2">
        <v>44376.41814814815</v>
      </c>
      <c r="B355" t="s">
        <v>357</v>
      </c>
      <c r="C355" t="s">
        <v>1662</v>
      </c>
      <c r="D355" t="s">
        <v>2278</v>
      </c>
      <c r="E355" t="s">
        <v>2642</v>
      </c>
      <c r="F355" t="str">
        <f>HYPERLINK("https://vsd.vn/vi/ad/142873","Link")</f>
        <v>Link</v>
      </c>
    </row>
    <row r="356" spans="1:6" x14ac:dyDescent="0.25">
      <c r="A356" s="2">
        <v>44376.402129629627</v>
      </c>
      <c r="B356" t="s">
        <v>358</v>
      </c>
      <c r="C356" t="s">
        <v>1648</v>
      </c>
      <c r="D356" t="s">
        <v>2283</v>
      </c>
      <c r="E356" t="s">
        <v>2590</v>
      </c>
      <c r="F356" t="str">
        <f>HYPERLINK("https://vsd.vn/vi/ad/142872","Link")</f>
        <v>Link</v>
      </c>
    </row>
    <row r="357" spans="1:6" x14ac:dyDescent="0.25">
      <c r="A357" s="2">
        <v>44376.399918981479</v>
      </c>
      <c r="B357" t="s">
        <v>359</v>
      </c>
      <c r="C357" t="s">
        <v>1663</v>
      </c>
      <c r="D357" t="s">
        <v>2279</v>
      </c>
      <c r="E357" t="s">
        <v>2643</v>
      </c>
      <c r="F357" t="str">
        <f>HYPERLINK("https://vsd.vn/vi/ad/142846","Link")</f>
        <v>Link</v>
      </c>
    </row>
    <row r="358" spans="1:6" x14ac:dyDescent="0.25">
      <c r="A358" s="2">
        <v>44376.346273148149</v>
      </c>
      <c r="B358" t="s">
        <v>360</v>
      </c>
      <c r="C358" t="s">
        <v>1664</v>
      </c>
      <c r="D358" t="s">
        <v>2283</v>
      </c>
      <c r="E358" t="s">
        <v>2644</v>
      </c>
      <c r="F358" t="str">
        <f>HYPERLINK("https://vsd.vn/vi/ad/142869","Link")</f>
        <v>Link</v>
      </c>
    </row>
    <row r="359" spans="1:6" x14ac:dyDescent="0.25">
      <c r="A359" s="2">
        <v>44375.717881944453</v>
      </c>
      <c r="B359" t="s">
        <v>361</v>
      </c>
      <c r="C359" t="s">
        <v>1665</v>
      </c>
      <c r="D359" t="s">
        <v>2284</v>
      </c>
      <c r="F359" t="str">
        <f>HYPERLINK("https://vsd.vn/vi/ad/142847","Link")</f>
        <v>Link</v>
      </c>
    </row>
    <row r="360" spans="1:6" x14ac:dyDescent="0.25">
      <c r="A360" s="2">
        <v>44375.668113425927</v>
      </c>
      <c r="B360" t="s">
        <v>362</v>
      </c>
      <c r="C360" t="s">
        <v>1666</v>
      </c>
      <c r="D360" t="s">
        <v>2283</v>
      </c>
      <c r="F360" t="str">
        <f>HYPERLINK("https://vsd.vn/vi/ad/142844","Link")</f>
        <v>Link</v>
      </c>
    </row>
    <row r="361" spans="1:6" x14ac:dyDescent="0.25">
      <c r="A361" s="2">
        <v>44375.654328703713</v>
      </c>
      <c r="B361" t="s">
        <v>363</v>
      </c>
      <c r="C361" t="s">
        <v>1641</v>
      </c>
      <c r="D361" t="s">
        <v>2284</v>
      </c>
      <c r="E361" t="s">
        <v>2645</v>
      </c>
      <c r="F361" t="str">
        <f>HYPERLINK("https://vsd.vn/vi/ad/142842","Link")</f>
        <v>Link</v>
      </c>
    </row>
    <row r="362" spans="1:6" x14ac:dyDescent="0.25">
      <c r="A362" s="2">
        <v>44372.708333333343</v>
      </c>
      <c r="B362" t="s">
        <v>364</v>
      </c>
      <c r="E362" t="s">
        <v>2646</v>
      </c>
      <c r="F362" t="str">
        <f>HYPERLINK("https://vsd.vn/vi/ad/142829","Link")</f>
        <v>Link</v>
      </c>
    </row>
    <row r="363" spans="1:6" x14ac:dyDescent="0.25">
      <c r="A363" s="2">
        <v>44372.669756944437</v>
      </c>
      <c r="B363" t="s">
        <v>365</v>
      </c>
      <c r="F363" t="str">
        <f>HYPERLINK("https://vsd.vn/vi/ad/142811","Link")</f>
        <v>Link</v>
      </c>
    </row>
    <row r="364" spans="1:6" x14ac:dyDescent="0.25">
      <c r="A364" s="2">
        <v>44372.666805555556</v>
      </c>
      <c r="B364" t="s">
        <v>366</v>
      </c>
      <c r="C364" t="s">
        <v>1667</v>
      </c>
      <c r="D364" t="s">
        <v>2283</v>
      </c>
      <c r="F364" t="str">
        <f>HYPERLINK("https://vsd.vn/vi/ad/142809","Link")</f>
        <v>Link</v>
      </c>
    </row>
    <row r="365" spans="1:6" x14ac:dyDescent="0.25">
      <c r="A365" s="2">
        <v>44372.635300925933</v>
      </c>
      <c r="B365" t="s">
        <v>367</v>
      </c>
      <c r="C365" t="s">
        <v>1668</v>
      </c>
      <c r="D365" t="s">
        <v>2284</v>
      </c>
      <c r="F365" t="str">
        <f>HYPERLINK("https://vsd.vn/vi/ad/142790","Link")</f>
        <v>Link</v>
      </c>
    </row>
    <row r="366" spans="1:6" x14ac:dyDescent="0.25">
      <c r="A366" s="2">
        <v>44372.631736111107</v>
      </c>
      <c r="B366" t="s">
        <v>368</v>
      </c>
      <c r="C366" t="s">
        <v>1499</v>
      </c>
      <c r="D366" t="s">
        <v>2285</v>
      </c>
      <c r="E366" t="s">
        <v>2647</v>
      </c>
      <c r="F366" t="str">
        <f>HYPERLINK("https://vsd.vn/vi/ad/142805","Link")</f>
        <v>Link</v>
      </c>
    </row>
    <row r="367" spans="1:6" x14ac:dyDescent="0.25">
      <c r="A367" s="2">
        <v>44372.623206018521</v>
      </c>
      <c r="B367" t="s">
        <v>369</v>
      </c>
      <c r="C367" t="s">
        <v>1488</v>
      </c>
      <c r="D367" t="s">
        <v>2282</v>
      </c>
      <c r="E367" t="s">
        <v>2648</v>
      </c>
      <c r="F367" t="str">
        <f>HYPERLINK("https://vsd.vn/vi/ad/142801","Link")</f>
        <v>Link</v>
      </c>
    </row>
    <row r="368" spans="1:6" x14ac:dyDescent="0.25">
      <c r="A368" s="2">
        <v>44372.622777777768</v>
      </c>
      <c r="B368" t="s">
        <v>370</v>
      </c>
      <c r="C368" t="s">
        <v>1467</v>
      </c>
      <c r="D368" t="s">
        <v>2284</v>
      </c>
      <c r="E368" t="s">
        <v>2647</v>
      </c>
      <c r="F368" t="str">
        <f>HYPERLINK("https://vsd.vn/vi/ad/142802","Link")</f>
        <v>Link</v>
      </c>
    </row>
    <row r="369" spans="1:6" x14ac:dyDescent="0.25">
      <c r="A369" s="2">
        <v>44372.460682870369</v>
      </c>
      <c r="B369" t="s">
        <v>371</v>
      </c>
      <c r="C369" t="s">
        <v>1669</v>
      </c>
      <c r="D369" t="s">
        <v>2285</v>
      </c>
      <c r="F369" t="str">
        <f>HYPERLINK("https://vsd.vn/vi/ad/142793","Link")</f>
        <v>Link</v>
      </c>
    </row>
    <row r="370" spans="1:6" x14ac:dyDescent="0.25">
      <c r="A370" s="2">
        <v>44372.384131944447</v>
      </c>
      <c r="B370" t="s">
        <v>372</v>
      </c>
      <c r="C370" t="s">
        <v>1670</v>
      </c>
      <c r="D370" t="s">
        <v>2285</v>
      </c>
      <c r="F370" t="str">
        <f>HYPERLINK("https://vsd.vn/vi/ad/142791","Link")</f>
        <v>Link</v>
      </c>
    </row>
    <row r="371" spans="1:6" x14ac:dyDescent="0.25">
      <c r="A371" s="2">
        <v>44372.371319444443</v>
      </c>
      <c r="B371" t="s">
        <v>373</v>
      </c>
      <c r="C371" t="s">
        <v>1671</v>
      </c>
      <c r="D371" t="s">
        <v>2286</v>
      </c>
      <c r="E371" t="s">
        <v>2649</v>
      </c>
      <c r="F371" t="str">
        <f>HYPERLINK("https://vsd.vn/vi/ad/142789","Link")</f>
        <v>Link</v>
      </c>
    </row>
    <row r="372" spans="1:6" x14ac:dyDescent="0.25">
      <c r="A372" s="2">
        <v>44372.370682870373</v>
      </c>
      <c r="B372" t="s">
        <v>374</v>
      </c>
      <c r="C372" t="s">
        <v>1672</v>
      </c>
      <c r="D372" t="s">
        <v>2283</v>
      </c>
      <c r="E372" t="s">
        <v>2650</v>
      </c>
      <c r="F372" t="str">
        <f>HYPERLINK("https://vsd.vn/vi/ad/142784","Link")</f>
        <v>Link</v>
      </c>
    </row>
    <row r="373" spans="1:6" x14ac:dyDescent="0.25">
      <c r="A373" s="2">
        <v>44372.358449074083</v>
      </c>
      <c r="B373" t="s">
        <v>375</v>
      </c>
      <c r="C373" t="s">
        <v>1673</v>
      </c>
      <c r="D373" t="s">
        <v>2282</v>
      </c>
      <c r="F373" t="str">
        <f>HYPERLINK("https://vsd.vn/vi/ad/142779","Link")</f>
        <v>Link</v>
      </c>
    </row>
    <row r="374" spans="1:6" x14ac:dyDescent="0.25">
      <c r="A374" s="2">
        <v>44372.357835648138</v>
      </c>
      <c r="B374" t="s">
        <v>376</v>
      </c>
      <c r="C374" t="s">
        <v>1494</v>
      </c>
      <c r="D374" t="s">
        <v>2279</v>
      </c>
      <c r="E374" t="s">
        <v>2580</v>
      </c>
      <c r="F374" t="str">
        <f>HYPERLINK("https://vsd.vn/vi/ad/142783","Link")</f>
        <v>Link</v>
      </c>
    </row>
    <row r="375" spans="1:6" x14ac:dyDescent="0.25">
      <c r="A375" s="2">
        <v>44371.693599537037</v>
      </c>
      <c r="B375" t="s">
        <v>377</v>
      </c>
      <c r="C375" t="s">
        <v>1674</v>
      </c>
      <c r="D375" t="s">
        <v>2279</v>
      </c>
      <c r="E375" t="s">
        <v>2642</v>
      </c>
      <c r="F375" t="str">
        <f>HYPERLINK("https://vsd.vn/vi/ad/142771","Link")</f>
        <v>Link</v>
      </c>
    </row>
    <row r="376" spans="1:6" x14ac:dyDescent="0.25">
      <c r="A376" s="2">
        <v>44371.692557870367</v>
      </c>
      <c r="B376" t="s">
        <v>378</v>
      </c>
      <c r="C376" t="s">
        <v>1488</v>
      </c>
      <c r="D376" t="s">
        <v>2286</v>
      </c>
      <c r="E376" t="s">
        <v>2617</v>
      </c>
      <c r="F376" t="str">
        <f>HYPERLINK("https://vsd.vn/vi/ad/142773","Link")</f>
        <v>Link</v>
      </c>
    </row>
    <row r="377" spans="1:6" x14ac:dyDescent="0.25">
      <c r="A377" s="2">
        <v>44371.691145833327</v>
      </c>
      <c r="B377" t="s">
        <v>379</v>
      </c>
      <c r="C377" t="s">
        <v>1675</v>
      </c>
      <c r="D377" t="s">
        <v>2287</v>
      </c>
      <c r="E377" t="s">
        <v>2651</v>
      </c>
      <c r="F377" t="str">
        <f>HYPERLINK("https://vsd.vn/vi/ad/142775","Link")</f>
        <v>Link</v>
      </c>
    </row>
    <row r="378" spans="1:6" x14ac:dyDescent="0.25">
      <c r="A378" s="2">
        <v>44371.610949074071</v>
      </c>
      <c r="B378" t="s">
        <v>380</v>
      </c>
      <c r="C378" t="s">
        <v>1676</v>
      </c>
      <c r="D378" t="s">
        <v>2285</v>
      </c>
      <c r="E378" t="s">
        <v>2603</v>
      </c>
      <c r="F378" t="str">
        <f>HYPERLINK("https://vsd.vn/vi/ad/142759","Link")</f>
        <v>Link</v>
      </c>
    </row>
    <row r="379" spans="1:6" x14ac:dyDescent="0.25">
      <c r="A379" s="2">
        <v>44371.444618055553</v>
      </c>
      <c r="B379" t="s">
        <v>381</v>
      </c>
      <c r="C379" t="s">
        <v>1677</v>
      </c>
      <c r="D379" t="s">
        <v>2284</v>
      </c>
      <c r="E379" t="s">
        <v>2629</v>
      </c>
      <c r="F379" t="str">
        <f>HYPERLINK("https://vsd.vn/vi/ad/142757","Link")</f>
        <v>Link</v>
      </c>
    </row>
    <row r="380" spans="1:6" x14ac:dyDescent="0.25">
      <c r="A380" s="2">
        <v>44371.364722222221</v>
      </c>
      <c r="B380" t="s">
        <v>382</v>
      </c>
      <c r="C380" t="s">
        <v>1472</v>
      </c>
      <c r="D380" t="s">
        <v>2286</v>
      </c>
      <c r="E380" t="s">
        <v>2652</v>
      </c>
      <c r="F380" t="str">
        <f>HYPERLINK("https://vsd.vn/vi/ad/142750","Link")</f>
        <v>Link</v>
      </c>
    </row>
    <row r="381" spans="1:6" x14ac:dyDescent="0.25">
      <c r="A381" s="2">
        <v>44370.686655092592</v>
      </c>
      <c r="B381" t="s">
        <v>383</v>
      </c>
      <c r="C381" t="s">
        <v>1678</v>
      </c>
      <c r="D381" t="s">
        <v>2287</v>
      </c>
      <c r="E381" t="s">
        <v>2653</v>
      </c>
      <c r="F381" t="str">
        <f>HYPERLINK("https://vsd.vn/vi/ad/142737","Link")</f>
        <v>Link</v>
      </c>
    </row>
    <row r="382" spans="1:6" x14ac:dyDescent="0.25">
      <c r="A382" s="2">
        <v>44370.646944444437</v>
      </c>
      <c r="B382" t="s">
        <v>384</v>
      </c>
      <c r="C382" t="s">
        <v>1467</v>
      </c>
      <c r="D382" t="s">
        <v>2286</v>
      </c>
      <c r="E382" t="s">
        <v>2654</v>
      </c>
      <c r="F382" t="str">
        <f>HYPERLINK("https://vsd.vn/vi/ad/142735","Link")</f>
        <v>Link</v>
      </c>
    </row>
    <row r="383" spans="1:6" x14ac:dyDescent="0.25">
      <c r="A383" s="2">
        <v>44370.453159722223</v>
      </c>
      <c r="B383" t="s">
        <v>385</v>
      </c>
      <c r="C383" t="s">
        <v>1679</v>
      </c>
      <c r="D383" t="s">
        <v>2277</v>
      </c>
      <c r="E383" t="s">
        <v>2643</v>
      </c>
      <c r="F383" t="str">
        <f>HYPERLINK("https://vsd.vn/vi/ad/142731","Link")</f>
        <v>Link</v>
      </c>
    </row>
    <row r="384" spans="1:6" x14ac:dyDescent="0.25">
      <c r="A384" s="2">
        <v>44369.685844907413</v>
      </c>
      <c r="B384" t="s">
        <v>386</v>
      </c>
      <c r="C384" t="s">
        <v>1680</v>
      </c>
      <c r="D384" t="s">
        <v>2288</v>
      </c>
      <c r="E384" t="s">
        <v>2655</v>
      </c>
      <c r="F384" t="str">
        <f>HYPERLINK("https://vsd.vn/vi/ad/142723","Link")</f>
        <v>Link</v>
      </c>
    </row>
    <row r="385" spans="1:6" x14ac:dyDescent="0.25">
      <c r="A385" s="2">
        <v>44369.65320601852</v>
      </c>
      <c r="B385" t="s">
        <v>387</v>
      </c>
      <c r="C385" t="s">
        <v>1499</v>
      </c>
      <c r="D385" t="s">
        <v>2283</v>
      </c>
      <c r="E385" t="s">
        <v>2653</v>
      </c>
      <c r="F385" t="str">
        <f>HYPERLINK("https://vsd.vn/vi/ad/142722","Link")</f>
        <v>Link</v>
      </c>
    </row>
    <row r="386" spans="1:6" x14ac:dyDescent="0.25">
      <c r="A386" s="2">
        <v>44369.467835648153</v>
      </c>
      <c r="B386" t="s">
        <v>388</v>
      </c>
      <c r="C386" t="s">
        <v>1681</v>
      </c>
      <c r="D386" t="s">
        <v>2280</v>
      </c>
      <c r="E386" t="s">
        <v>2656</v>
      </c>
      <c r="F386" t="str">
        <f>HYPERLINK("https://vsd.vn/vi/ad/142714","Link")</f>
        <v>Link</v>
      </c>
    </row>
    <row r="387" spans="1:6" x14ac:dyDescent="0.25">
      <c r="A387" s="2">
        <v>44368.705983796302</v>
      </c>
      <c r="B387" t="s">
        <v>389</v>
      </c>
      <c r="C387" t="s">
        <v>1682</v>
      </c>
      <c r="D387" t="s">
        <v>2288</v>
      </c>
      <c r="E387" t="s">
        <v>2657</v>
      </c>
      <c r="F387" t="str">
        <f>HYPERLINK("https://vsd.vn/vi/ad/142688","Link")</f>
        <v>Link</v>
      </c>
    </row>
    <row r="388" spans="1:6" x14ac:dyDescent="0.25">
      <c r="A388" s="2">
        <v>44368.696527777778</v>
      </c>
      <c r="B388" t="s">
        <v>390</v>
      </c>
      <c r="C388" t="s">
        <v>1480</v>
      </c>
      <c r="D388" t="s">
        <v>2289</v>
      </c>
      <c r="E388" t="s">
        <v>2658</v>
      </c>
      <c r="F388" t="str">
        <f>HYPERLINK("https://vsd.vn/vi/ad/142690","Link")</f>
        <v>Link</v>
      </c>
    </row>
    <row r="389" spans="1:6" x14ac:dyDescent="0.25">
      <c r="A389" s="2">
        <v>44368.695983796293</v>
      </c>
      <c r="B389" t="s">
        <v>391</v>
      </c>
      <c r="C389" t="s">
        <v>1683</v>
      </c>
      <c r="D389" t="s">
        <v>2286</v>
      </c>
      <c r="E389" t="s">
        <v>2659</v>
      </c>
      <c r="F389" t="str">
        <f>HYPERLINK("https://vsd.vn/vi/ad/142691","Link")</f>
        <v>Link</v>
      </c>
    </row>
    <row r="390" spans="1:6" x14ac:dyDescent="0.25">
      <c r="A390" s="2">
        <v>44368.695219907408</v>
      </c>
      <c r="B390" t="s">
        <v>392</v>
      </c>
      <c r="C390" t="s">
        <v>1684</v>
      </c>
      <c r="D390" t="s">
        <v>2289</v>
      </c>
      <c r="E390" t="s">
        <v>2660</v>
      </c>
      <c r="F390" t="str">
        <f>HYPERLINK("https://vsd.vn/vi/ad/142692","Link")</f>
        <v>Link</v>
      </c>
    </row>
    <row r="391" spans="1:6" x14ac:dyDescent="0.25">
      <c r="A391" s="2">
        <v>44368.643622685187</v>
      </c>
      <c r="B391" t="s">
        <v>393</v>
      </c>
      <c r="C391" t="s">
        <v>1685</v>
      </c>
      <c r="D391" t="s">
        <v>2289</v>
      </c>
      <c r="F391" t="str">
        <f>HYPERLINK("https://vsd.vn/vi/ad/142685","Link")</f>
        <v>Link</v>
      </c>
    </row>
    <row r="392" spans="1:6" x14ac:dyDescent="0.25">
      <c r="A392" s="2">
        <v>44368.642893518518</v>
      </c>
      <c r="B392" t="s">
        <v>394</v>
      </c>
      <c r="C392" t="s">
        <v>1686</v>
      </c>
      <c r="D392" t="s">
        <v>2288</v>
      </c>
      <c r="E392" t="s">
        <v>2645</v>
      </c>
      <c r="F392" t="str">
        <f>HYPERLINK("https://vsd.vn/vi/ad/142686","Link")</f>
        <v>Link</v>
      </c>
    </row>
    <row r="393" spans="1:6" x14ac:dyDescent="0.25">
      <c r="A393" s="2">
        <v>44365.702476851853</v>
      </c>
      <c r="B393" t="s">
        <v>395</v>
      </c>
      <c r="C393" t="s">
        <v>1687</v>
      </c>
      <c r="D393" t="s">
        <v>2287</v>
      </c>
      <c r="F393" t="str">
        <f>HYPERLINK("https://vsd.vn/vi/ad/142667","Link")</f>
        <v>Link</v>
      </c>
    </row>
    <row r="394" spans="1:6" x14ac:dyDescent="0.25">
      <c r="A394" s="2">
        <v>44365.692754629628</v>
      </c>
      <c r="B394" t="s">
        <v>396</v>
      </c>
      <c r="E394" t="s">
        <v>2661</v>
      </c>
      <c r="F394" t="str">
        <f>HYPERLINK("https://vsd.vn/vi/ad/142666","Link")</f>
        <v>Link</v>
      </c>
    </row>
    <row r="395" spans="1:6" x14ac:dyDescent="0.25">
      <c r="A395" s="2">
        <v>44365.683900462973</v>
      </c>
      <c r="B395" t="s">
        <v>397</v>
      </c>
      <c r="C395" t="s">
        <v>1688</v>
      </c>
      <c r="D395" t="s">
        <v>2287</v>
      </c>
      <c r="E395" t="s">
        <v>2618</v>
      </c>
      <c r="F395" t="str">
        <f>HYPERLINK("https://vsd.vn/vi/ad/142665","Link")</f>
        <v>Link</v>
      </c>
    </row>
    <row r="396" spans="1:6" x14ac:dyDescent="0.25">
      <c r="A396" s="2">
        <v>44365.679884259262</v>
      </c>
      <c r="B396" t="s">
        <v>398</v>
      </c>
      <c r="C396" t="s">
        <v>1689</v>
      </c>
      <c r="D396" t="s">
        <v>2286</v>
      </c>
      <c r="E396" t="s">
        <v>2662</v>
      </c>
      <c r="F396" t="str">
        <f>HYPERLINK("https://vsd.vn/vi/ad/142664","Link")</f>
        <v>Link</v>
      </c>
    </row>
    <row r="397" spans="1:6" x14ac:dyDescent="0.25">
      <c r="A397" s="2">
        <v>44365.450914351852</v>
      </c>
      <c r="B397" t="s">
        <v>399</v>
      </c>
      <c r="D397" t="s">
        <v>2288</v>
      </c>
      <c r="F397" t="str">
        <f>HYPERLINK("https://vsd.vn/vi/ad/142654","Link")</f>
        <v>Link</v>
      </c>
    </row>
    <row r="398" spans="1:6" x14ac:dyDescent="0.25">
      <c r="A398" s="2">
        <v>44365.450428240743</v>
      </c>
      <c r="B398" t="s">
        <v>400</v>
      </c>
      <c r="E398" t="s">
        <v>2663</v>
      </c>
      <c r="F398" t="str">
        <f>HYPERLINK("https://vsd.vn/vi/ad/142658","Link")</f>
        <v>Link</v>
      </c>
    </row>
    <row r="399" spans="1:6" x14ac:dyDescent="0.25">
      <c r="A399" s="2">
        <v>44364.713368055563</v>
      </c>
      <c r="B399" t="s">
        <v>401</v>
      </c>
      <c r="D399" t="s">
        <v>2289</v>
      </c>
      <c r="F399" t="str">
        <f>HYPERLINK("https://vsd.vn/vi/ad/142648","Link")</f>
        <v>Link</v>
      </c>
    </row>
    <row r="400" spans="1:6" x14ac:dyDescent="0.25">
      <c r="A400" s="2">
        <v>44364.713148148148</v>
      </c>
      <c r="B400" t="s">
        <v>402</v>
      </c>
      <c r="D400" t="s">
        <v>2290</v>
      </c>
      <c r="F400" t="str">
        <f>HYPERLINK("https://vsd.vn/vi/ad/142649","Link")</f>
        <v>Link</v>
      </c>
    </row>
    <row r="401" spans="1:6" x14ac:dyDescent="0.25">
      <c r="A401" s="2">
        <v>44364.678715277783</v>
      </c>
      <c r="B401" t="s">
        <v>403</v>
      </c>
      <c r="D401" t="s">
        <v>2289</v>
      </c>
      <c r="F401" t="str">
        <f>HYPERLINK("https://vsd.vn/vi/ad/142640","Link")</f>
        <v>Link</v>
      </c>
    </row>
    <row r="402" spans="1:6" x14ac:dyDescent="0.25">
      <c r="A402" s="2">
        <v>44363.715289351851</v>
      </c>
      <c r="B402" t="s">
        <v>404</v>
      </c>
      <c r="C402" t="s">
        <v>1690</v>
      </c>
      <c r="D402" t="s">
        <v>2284</v>
      </c>
      <c r="E402" t="s">
        <v>2626</v>
      </c>
      <c r="F402" t="str">
        <f>HYPERLINK("https://vsd.vn/vi/ad/142627","Link")</f>
        <v>Link</v>
      </c>
    </row>
    <row r="403" spans="1:6" x14ac:dyDescent="0.25">
      <c r="A403" s="2">
        <v>44363.714953703697</v>
      </c>
      <c r="B403" t="s">
        <v>405</v>
      </c>
      <c r="C403" t="s">
        <v>1691</v>
      </c>
      <c r="D403" t="s">
        <v>2291</v>
      </c>
      <c r="E403" t="s">
        <v>2664</v>
      </c>
      <c r="F403" t="str">
        <f>HYPERLINK("https://vsd.vn/vi/ad/142629","Link")</f>
        <v>Link</v>
      </c>
    </row>
    <row r="404" spans="1:6" x14ac:dyDescent="0.25">
      <c r="A404" s="2">
        <v>44363.714502314811</v>
      </c>
      <c r="B404" t="s">
        <v>406</v>
      </c>
      <c r="C404" t="s">
        <v>1692</v>
      </c>
      <c r="D404" t="s">
        <v>2286</v>
      </c>
      <c r="E404" t="s">
        <v>2665</v>
      </c>
      <c r="F404" t="str">
        <f>HYPERLINK("https://vsd.vn/vi/ad/142628","Link")</f>
        <v>Link</v>
      </c>
    </row>
    <row r="405" spans="1:6" x14ac:dyDescent="0.25">
      <c r="A405" s="2">
        <v>44363.661562499998</v>
      </c>
      <c r="B405" t="s">
        <v>407</v>
      </c>
      <c r="C405" t="s">
        <v>1653</v>
      </c>
      <c r="D405" t="s">
        <v>2292</v>
      </c>
      <c r="E405" t="s">
        <v>2652</v>
      </c>
      <c r="F405" t="str">
        <f>HYPERLINK("https://vsd.vn/vi/ad/142624","Link")</f>
        <v>Link</v>
      </c>
    </row>
    <row r="406" spans="1:6" x14ac:dyDescent="0.25">
      <c r="A406" s="2">
        <v>44363.656736111108</v>
      </c>
      <c r="B406" t="s">
        <v>408</v>
      </c>
      <c r="C406" t="s">
        <v>1693</v>
      </c>
      <c r="D406" t="s">
        <v>2292</v>
      </c>
      <c r="E406" t="s">
        <v>2643</v>
      </c>
      <c r="F406" t="str">
        <f>HYPERLINK("https://vsd.vn/vi/ad/142621","Link")</f>
        <v>Link</v>
      </c>
    </row>
    <row r="407" spans="1:6" x14ac:dyDescent="0.25">
      <c r="A407" s="2">
        <v>44363.461180555547</v>
      </c>
      <c r="B407" t="s">
        <v>409</v>
      </c>
      <c r="D407" t="s">
        <v>2292</v>
      </c>
      <c r="F407" t="str">
        <f>HYPERLINK("https://vsd.vn/vi/ad/142620","Link")</f>
        <v>Link</v>
      </c>
    </row>
    <row r="408" spans="1:6" x14ac:dyDescent="0.25">
      <c r="A408" s="2">
        <v>44363.460694444453</v>
      </c>
      <c r="B408" t="s">
        <v>410</v>
      </c>
      <c r="D408" t="s">
        <v>2291</v>
      </c>
      <c r="F408" t="str">
        <f>HYPERLINK("https://vsd.vn/vi/ad/142617","Link")</f>
        <v>Link</v>
      </c>
    </row>
    <row r="409" spans="1:6" x14ac:dyDescent="0.25">
      <c r="A409" s="2">
        <v>44363.459837962961</v>
      </c>
      <c r="B409" t="s">
        <v>411</v>
      </c>
      <c r="D409" t="s">
        <v>2291</v>
      </c>
      <c r="F409" t="str">
        <f>HYPERLINK("https://vsd.vn/vi/ad/142619","Link")</f>
        <v>Link</v>
      </c>
    </row>
    <row r="410" spans="1:6" x14ac:dyDescent="0.25">
      <c r="A410" s="2">
        <v>44363.449814814812</v>
      </c>
      <c r="B410" t="s">
        <v>412</v>
      </c>
      <c r="D410" t="s">
        <v>2292</v>
      </c>
      <c r="F410" t="str">
        <f>HYPERLINK("https://vsd.vn/vi/ad/142618","Link")</f>
        <v>Link</v>
      </c>
    </row>
    <row r="411" spans="1:6" x14ac:dyDescent="0.25">
      <c r="A411" s="2">
        <v>44363.443784722222</v>
      </c>
      <c r="B411" t="s">
        <v>413</v>
      </c>
      <c r="D411" t="s">
        <v>2293</v>
      </c>
      <c r="F411" t="str">
        <f>HYPERLINK("https://vsd.vn/vi/ad/142616","Link")</f>
        <v>Link</v>
      </c>
    </row>
    <row r="412" spans="1:6" x14ac:dyDescent="0.25">
      <c r="A412" s="2">
        <v>44363.427442129629</v>
      </c>
      <c r="B412" t="s">
        <v>414</v>
      </c>
      <c r="F412" t="str">
        <f>HYPERLINK("https://vsd.vn/vi/ad/142613","Link")</f>
        <v>Link</v>
      </c>
    </row>
    <row r="413" spans="1:6" x14ac:dyDescent="0.25">
      <c r="A413" s="2">
        <v>44363.415196759262</v>
      </c>
      <c r="B413" t="s">
        <v>415</v>
      </c>
      <c r="C413" t="s">
        <v>1694</v>
      </c>
      <c r="D413" t="s">
        <v>2292</v>
      </c>
      <c r="E413" t="s">
        <v>2558</v>
      </c>
      <c r="F413" t="str">
        <f>HYPERLINK("https://vsd.vn/vi/ad/142609","Link")</f>
        <v>Link</v>
      </c>
    </row>
    <row r="414" spans="1:6" x14ac:dyDescent="0.25">
      <c r="A414" s="2">
        <v>44362.738136574073</v>
      </c>
      <c r="B414" t="s">
        <v>416</v>
      </c>
      <c r="C414" t="s">
        <v>1467</v>
      </c>
      <c r="D414" t="s">
        <v>2293</v>
      </c>
      <c r="E414" t="s">
        <v>2617</v>
      </c>
      <c r="F414" t="str">
        <f>HYPERLINK("https://vsd.vn/vi/ad/142603","Link")</f>
        <v>Link</v>
      </c>
    </row>
    <row r="415" spans="1:6" x14ac:dyDescent="0.25">
      <c r="A415" s="2">
        <v>44362.737997685188</v>
      </c>
      <c r="B415" t="s">
        <v>417</v>
      </c>
      <c r="C415" t="s">
        <v>1494</v>
      </c>
      <c r="D415" t="s">
        <v>2291</v>
      </c>
      <c r="E415" t="s">
        <v>2666</v>
      </c>
      <c r="F415" t="str">
        <f>HYPERLINK("https://vsd.vn/vi/ad/142604","Link")</f>
        <v>Link</v>
      </c>
    </row>
    <row r="416" spans="1:6" x14ac:dyDescent="0.25">
      <c r="A416" s="2">
        <v>44362.726909722223</v>
      </c>
      <c r="B416" t="s">
        <v>418</v>
      </c>
      <c r="E416" t="s">
        <v>2667</v>
      </c>
      <c r="F416" t="str">
        <f>HYPERLINK("https://vsd.vn/vi/ad/142602","Link")</f>
        <v>Link</v>
      </c>
    </row>
    <row r="417" spans="1:6" x14ac:dyDescent="0.25">
      <c r="A417" s="2">
        <v>44362.407534722217</v>
      </c>
      <c r="B417" t="s">
        <v>419</v>
      </c>
      <c r="D417" t="s">
        <v>2290</v>
      </c>
      <c r="F417" t="str">
        <f>HYPERLINK("https://vsd.vn/vi/ad/142592","Link")</f>
        <v>Link</v>
      </c>
    </row>
    <row r="418" spans="1:6" x14ac:dyDescent="0.25">
      <c r="A418" s="2">
        <v>44362.407071759262</v>
      </c>
      <c r="B418" t="s">
        <v>420</v>
      </c>
      <c r="D418" t="s">
        <v>2292</v>
      </c>
      <c r="F418" t="str">
        <f>HYPERLINK("https://vsd.vn/vi/ad/142584","Link")</f>
        <v>Link</v>
      </c>
    </row>
    <row r="419" spans="1:6" x14ac:dyDescent="0.25">
      <c r="A419" s="2">
        <v>44362.367766203701</v>
      </c>
      <c r="B419" t="s">
        <v>421</v>
      </c>
      <c r="C419" t="s">
        <v>1695</v>
      </c>
      <c r="D419" t="s">
        <v>2291</v>
      </c>
      <c r="E419" t="s">
        <v>2668</v>
      </c>
      <c r="F419" t="str">
        <f>HYPERLINK("https://vsd.vn/vi/ad/142590","Link")</f>
        <v>Link</v>
      </c>
    </row>
    <row r="420" spans="1:6" x14ac:dyDescent="0.25">
      <c r="A420" s="2">
        <v>44362.367291666669</v>
      </c>
      <c r="B420" t="s">
        <v>422</v>
      </c>
      <c r="C420" t="s">
        <v>1696</v>
      </c>
      <c r="D420" t="s">
        <v>2294</v>
      </c>
      <c r="E420" t="s">
        <v>2652</v>
      </c>
      <c r="F420" t="str">
        <f>HYPERLINK("https://vsd.vn/vi/ad/142591","Link")</f>
        <v>Link</v>
      </c>
    </row>
    <row r="421" spans="1:6" x14ac:dyDescent="0.25">
      <c r="A421" s="2">
        <v>44361.711331018523</v>
      </c>
      <c r="B421" t="s">
        <v>423</v>
      </c>
      <c r="C421" t="s">
        <v>1500</v>
      </c>
      <c r="D421" t="s">
        <v>2295</v>
      </c>
      <c r="E421" t="s">
        <v>2669</v>
      </c>
      <c r="F421" t="str">
        <f>HYPERLINK("https://vsd.vn/vi/ad/142582","Link")</f>
        <v>Link</v>
      </c>
    </row>
    <row r="422" spans="1:6" x14ac:dyDescent="0.25">
      <c r="A422" s="2">
        <v>44361.7109837963</v>
      </c>
      <c r="B422" t="s">
        <v>424</v>
      </c>
      <c r="C422" t="s">
        <v>1697</v>
      </c>
      <c r="D422" t="s">
        <v>2291</v>
      </c>
      <c r="E422" t="s">
        <v>2665</v>
      </c>
      <c r="F422" t="str">
        <f>HYPERLINK("https://vsd.vn/vi/ad/142583","Link")</f>
        <v>Link</v>
      </c>
    </row>
    <row r="423" spans="1:6" x14ac:dyDescent="0.25">
      <c r="A423" s="2">
        <v>44361.703680555547</v>
      </c>
      <c r="B423" t="s">
        <v>425</v>
      </c>
      <c r="C423" t="s">
        <v>1692</v>
      </c>
      <c r="D423" t="s">
        <v>2290</v>
      </c>
      <c r="E423" t="s">
        <v>2546</v>
      </c>
      <c r="F423" t="str">
        <f>HYPERLINK("https://vsd.vn/vi/ad/142581","Link")</f>
        <v>Link</v>
      </c>
    </row>
    <row r="424" spans="1:6" x14ac:dyDescent="0.25">
      <c r="A424" s="2">
        <v>44361.690243055556</v>
      </c>
      <c r="B424" t="s">
        <v>426</v>
      </c>
      <c r="D424" t="s">
        <v>2291</v>
      </c>
      <c r="F424" t="str">
        <f>HYPERLINK("https://vsd.vn/vi/ad/142575","Link")</f>
        <v>Link</v>
      </c>
    </row>
    <row r="425" spans="1:6" x14ac:dyDescent="0.25">
      <c r="A425" s="2">
        <v>44361.686979166669</v>
      </c>
      <c r="B425" t="s">
        <v>427</v>
      </c>
      <c r="D425" t="s">
        <v>2293</v>
      </c>
      <c r="F425" t="str">
        <f>HYPERLINK("https://vsd.vn/vi/ad/142572","Link")</f>
        <v>Link</v>
      </c>
    </row>
    <row r="426" spans="1:6" x14ac:dyDescent="0.25">
      <c r="A426" s="2">
        <v>44361.681122685193</v>
      </c>
      <c r="B426" t="s">
        <v>428</v>
      </c>
      <c r="C426" t="s">
        <v>1698</v>
      </c>
      <c r="D426" t="s">
        <v>2294</v>
      </c>
      <c r="E426" t="s">
        <v>2670</v>
      </c>
      <c r="F426" t="str">
        <f>HYPERLINK("https://vsd.vn/vi/ad/142569","Link")</f>
        <v>Link</v>
      </c>
    </row>
    <row r="427" spans="1:6" x14ac:dyDescent="0.25">
      <c r="A427" s="2">
        <v>44361.67763888889</v>
      </c>
      <c r="B427" t="s">
        <v>429</v>
      </c>
      <c r="D427" t="s">
        <v>2294</v>
      </c>
      <c r="F427" t="str">
        <f>HYPERLINK("https://vsd.vn/vi/ad/142573","Link")</f>
        <v>Link</v>
      </c>
    </row>
    <row r="428" spans="1:6" x14ac:dyDescent="0.25">
      <c r="A428" s="2">
        <v>44358.771666666667</v>
      </c>
      <c r="B428" t="s">
        <v>430</v>
      </c>
      <c r="C428" t="s">
        <v>1699</v>
      </c>
      <c r="D428" t="s">
        <v>2296</v>
      </c>
      <c r="E428" t="s">
        <v>2671</v>
      </c>
      <c r="F428" t="str">
        <f>HYPERLINK("https://vsd.vn/vi/ad/142555","Link")</f>
        <v>Link</v>
      </c>
    </row>
    <row r="429" spans="1:6" x14ac:dyDescent="0.25">
      <c r="A429" s="2">
        <v>44358.725983796299</v>
      </c>
      <c r="B429" t="s">
        <v>431</v>
      </c>
      <c r="C429" t="s">
        <v>1700</v>
      </c>
      <c r="D429" t="s">
        <v>2290</v>
      </c>
      <c r="F429" t="str">
        <f>HYPERLINK("https://vsd.vn/vi/ad/142546","Link")</f>
        <v>Link</v>
      </c>
    </row>
    <row r="430" spans="1:6" x14ac:dyDescent="0.25">
      <c r="A430" s="2">
        <v>44358.652962962973</v>
      </c>
      <c r="B430" t="s">
        <v>432</v>
      </c>
      <c r="C430" t="s">
        <v>1701</v>
      </c>
      <c r="D430" t="s">
        <v>2291</v>
      </c>
      <c r="E430" t="s">
        <v>2650</v>
      </c>
      <c r="F430" t="str">
        <f>HYPERLINK("https://vsd.vn/vi/ad/142541","Link")</f>
        <v>Link</v>
      </c>
    </row>
    <row r="431" spans="1:6" x14ac:dyDescent="0.25">
      <c r="A431" s="2">
        <v>44358.652499999997</v>
      </c>
      <c r="B431" t="s">
        <v>433</v>
      </c>
      <c r="C431" t="s">
        <v>1494</v>
      </c>
      <c r="D431" t="s">
        <v>2291</v>
      </c>
      <c r="E431" t="s">
        <v>2666</v>
      </c>
      <c r="F431" t="str">
        <f>HYPERLINK("https://vsd.vn/vi/ad/142538","Link")</f>
        <v>Link</v>
      </c>
    </row>
    <row r="432" spans="1:6" x14ac:dyDescent="0.25">
      <c r="A432" s="2">
        <v>44358.608738425923</v>
      </c>
      <c r="B432" t="s">
        <v>430</v>
      </c>
      <c r="C432" t="s">
        <v>1477</v>
      </c>
      <c r="D432" t="s">
        <v>2296</v>
      </c>
      <c r="E432" t="s">
        <v>2672</v>
      </c>
      <c r="F432" t="str">
        <f>HYPERLINK("https://vsd.vn/vi/ad/142536","Link")</f>
        <v>Link</v>
      </c>
    </row>
    <row r="433" spans="1:6" x14ac:dyDescent="0.25">
      <c r="A433" s="2">
        <v>44358.603090277778</v>
      </c>
      <c r="B433" t="s">
        <v>434</v>
      </c>
      <c r="C433" t="s">
        <v>1702</v>
      </c>
      <c r="D433" t="s">
        <v>2296</v>
      </c>
      <c r="F433" t="str">
        <f>HYPERLINK("https://vsd.vn/vi/ad/142534","Link")</f>
        <v>Link</v>
      </c>
    </row>
    <row r="434" spans="1:6" x14ac:dyDescent="0.25">
      <c r="A434" s="2">
        <v>44358.572187500002</v>
      </c>
      <c r="B434" t="s">
        <v>435</v>
      </c>
      <c r="C434" t="s">
        <v>1467</v>
      </c>
      <c r="D434" t="s">
        <v>2297</v>
      </c>
      <c r="E434" t="s">
        <v>2673</v>
      </c>
      <c r="F434" t="str">
        <f>HYPERLINK("https://vsd.vn/vi/ad/142485","Link")</f>
        <v>Link</v>
      </c>
    </row>
    <row r="435" spans="1:6" x14ac:dyDescent="0.25">
      <c r="A435" s="2">
        <v>44358.569027777783</v>
      </c>
      <c r="B435" t="s">
        <v>436</v>
      </c>
      <c r="C435" t="s">
        <v>1703</v>
      </c>
      <c r="D435" t="s">
        <v>2292</v>
      </c>
      <c r="E435" t="s">
        <v>2652</v>
      </c>
      <c r="F435" t="str">
        <f>HYPERLINK("https://vsd.vn/vi/ad/142489","Link")</f>
        <v>Link</v>
      </c>
    </row>
    <row r="436" spans="1:6" x14ac:dyDescent="0.25">
      <c r="A436" s="2">
        <v>44358.568564814806</v>
      </c>
      <c r="B436" t="s">
        <v>437</v>
      </c>
      <c r="C436" t="s">
        <v>1467</v>
      </c>
      <c r="D436" t="s">
        <v>2291</v>
      </c>
      <c r="E436" t="s">
        <v>2673</v>
      </c>
      <c r="F436" t="str">
        <f>HYPERLINK("https://vsd.vn/vi/ad/142482","Link")</f>
        <v>Link</v>
      </c>
    </row>
    <row r="437" spans="1:6" x14ac:dyDescent="0.25">
      <c r="A437" s="2">
        <v>44358.567928240736</v>
      </c>
      <c r="B437" t="s">
        <v>438</v>
      </c>
      <c r="C437" t="s">
        <v>1704</v>
      </c>
      <c r="D437" t="s">
        <v>2295</v>
      </c>
      <c r="E437" t="s">
        <v>2674</v>
      </c>
      <c r="F437" t="str">
        <f>HYPERLINK("https://vsd.vn/vi/ad/142499","Link")</f>
        <v>Link</v>
      </c>
    </row>
    <row r="438" spans="1:6" x14ac:dyDescent="0.25">
      <c r="A438" s="2">
        <v>44358.484212962961</v>
      </c>
      <c r="B438" t="s">
        <v>439</v>
      </c>
      <c r="C438" t="s">
        <v>1480</v>
      </c>
      <c r="D438" t="s">
        <v>2292</v>
      </c>
      <c r="E438" t="s">
        <v>2649</v>
      </c>
      <c r="F438" t="str">
        <f>HYPERLINK("https://vsd.vn/vi/ad/142506","Link")</f>
        <v>Link</v>
      </c>
    </row>
    <row r="439" spans="1:6" x14ac:dyDescent="0.25">
      <c r="A439" s="2">
        <v>44358.483703703707</v>
      </c>
      <c r="B439" t="s">
        <v>440</v>
      </c>
      <c r="C439" t="s">
        <v>1705</v>
      </c>
      <c r="D439" t="s">
        <v>2297</v>
      </c>
      <c r="E439" t="s">
        <v>2675</v>
      </c>
      <c r="F439" t="str">
        <f>HYPERLINK("https://vsd.vn/vi/ad/142497","Link")</f>
        <v>Link</v>
      </c>
    </row>
    <row r="440" spans="1:6" x14ac:dyDescent="0.25">
      <c r="A440" s="2">
        <v>44358.356238425928</v>
      </c>
      <c r="B440" t="s">
        <v>441</v>
      </c>
      <c r="C440" t="s">
        <v>1706</v>
      </c>
      <c r="D440" t="s">
        <v>2291</v>
      </c>
      <c r="E440" t="s">
        <v>2536</v>
      </c>
      <c r="F440" t="str">
        <f>HYPERLINK("https://vsd.vn/vi/ad/142503","Link")</f>
        <v>Link</v>
      </c>
    </row>
    <row r="441" spans="1:6" x14ac:dyDescent="0.25">
      <c r="A441" s="2">
        <v>44357.669502314813</v>
      </c>
      <c r="B441" t="s">
        <v>442</v>
      </c>
      <c r="C441" t="s">
        <v>1467</v>
      </c>
      <c r="D441" t="s">
        <v>2285</v>
      </c>
      <c r="E441" t="s">
        <v>2672</v>
      </c>
      <c r="F441" t="str">
        <f>HYPERLINK("https://vsd.vn/vi/ad/142495","Link")</f>
        <v>Link</v>
      </c>
    </row>
    <row r="442" spans="1:6" x14ac:dyDescent="0.25">
      <c r="A442" s="2">
        <v>44357.484351851846</v>
      </c>
      <c r="B442" t="s">
        <v>443</v>
      </c>
      <c r="C442" t="s">
        <v>1494</v>
      </c>
      <c r="D442" t="s">
        <v>2295</v>
      </c>
      <c r="E442" t="s">
        <v>2665</v>
      </c>
      <c r="F442" t="str">
        <f>HYPERLINK("https://vsd.vn/vi/ad/142479","Link")</f>
        <v>Link</v>
      </c>
    </row>
    <row r="443" spans="1:6" x14ac:dyDescent="0.25">
      <c r="A443" s="2">
        <v>44357.481898148151</v>
      </c>
      <c r="B443" t="s">
        <v>444</v>
      </c>
      <c r="C443" t="s">
        <v>1707</v>
      </c>
      <c r="D443" t="s">
        <v>2298</v>
      </c>
      <c r="E443" t="s">
        <v>2676</v>
      </c>
      <c r="F443" t="str">
        <f>HYPERLINK("https://vsd.vn/vi/ad/142480","Link")</f>
        <v>Link</v>
      </c>
    </row>
    <row r="444" spans="1:6" x14ac:dyDescent="0.25">
      <c r="A444" s="2">
        <v>44357.353761574072</v>
      </c>
      <c r="B444" t="s">
        <v>445</v>
      </c>
      <c r="E444" t="s">
        <v>2677</v>
      </c>
      <c r="F444" t="str">
        <f>HYPERLINK("https://vsd.vn/vi/ad/142474","Link")</f>
        <v>Link</v>
      </c>
    </row>
    <row r="445" spans="1:6" x14ac:dyDescent="0.25">
      <c r="A445" s="2">
        <v>44356.705740740741</v>
      </c>
      <c r="B445" t="s">
        <v>446</v>
      </c>
      <c r="C445" t="s">
        <v>1468</v>
      </c>
      <c r="D445" t="s">
        <v>2296</v>
      </c>
      <c r="E445" t="s">
        <v>2673</v>
      </c>
      <c r="F445" t="str">
        <f>HYPERLINK("https://vsd.vn/vi/ad/142463","Link")</f>
        <v>Link</v>
      </c>
    </row>
    <row r="446" spans="1:6" x14ac:dyDescent="0.25">
      <c r="A446" s="2">
        <v>44356.704351851848</v>
      </c>
      <c r="B446" t="s">
        <v>447</v>
      </c>
      <c r="C446" t="s">
        <v>1708</v>
      </c>
      <c r="D446" t="s">
        <v>2296</v>
      </c>
      <c r="E446" t="s">
        <v>2674</v>
      </c>
      <c r="F446" t="str">
        <f>HYPERLINK("https://vsd.vn/vi/ad/142467","Link")</f>
        <v>Link</v>
      </c>
    </row>
    <row r="447" spans="1:6" x14ac:dyDescent="0.25">
      <c r="A447" s="2">
        <v>44356.703240740739</v>
      </c>
      <c r="B447" t="s">
        <v>448</v>
      </c>
      <c r="C447" t="s">
        <v>1499</v>
      </c>
      <c r="D447" t="s">
        <v>2293</v>
      </c>
      <c r="E447" t="s">
        <v>2678</v>
      </c>
      <c r="F447" t="str">
        <f>HYPERLINK("https://vsd.vn/vi/ad/142469","Link")</f>
        <v>Link</v>
      </c>
    </row>
    <row r="448" spans="1:6" x14ac:dyDescent="0.25">
      <c r="A448" s="2">
        <v>44356.652094907397</v>
      </c>
      <c r="B448" t="s">
        <v>449</v>
      </c>
      <c r="C448" t="s">
        <v>1709</v>
      </c>
      <c r="D448" t="s">
        <v>2297</v>
      </c>
      <c r="F448" t="str">
        <f>HYPERLINK("https://vsd.vn/vi/ad/142466","Link")</f>
        <v>Link</v>
      </c>
    </row>
    <row r="449" spans="1:6" x14ac:dyDescent="0.25">
      <c r="A449" s="2">
        <v>44356.640879629631</v>
      </c>
      <c r="B449" t="s">
        <v>450</v>
      </c>
      <c r="C449" t="s">
        <v>1499</v>
      </c>
      <c r="D449" t="s">
        <v>2293</v>
      </c>
      <c r="E449" t="s">
        <v>2679</v>
      </c>
      <c r="F449" t="str">
        <f>HYPERLINK("https://vsd.vn/vi/ad/142464","Link")</f>
        <v>Link</v>
      </c>
    </row>
    <row r="450" spans="1:6" x14ac:dyDescent="0.25">
      <c r="A450" s="2">
        <v>44356.618379629632</v>
      </c>
      <c r="B450" t="s">
        <v>451</v>
      </c>
      <c r="C450" t="s">
        <v>1710</v>
      </c>
      <c r="D450" t="s">
        <v>2294</v>
      </c>
      <c r="E450" t="s">
        <v>2673</v>
      </c>
      <c r="F450" t="str">
        <f>HYPERLINK("https://vsd.vn/vi/ad/142462","Link")</f>
        <v>Link</v>
      </c>
    </row>
    <row r="451" spans="1:6" x14ac:dyDescent="0.25">
      <c r="A451" s="2">
        <v>44356.355486111112</v>
      </c>
      <c r="B451" t="s">
        <v>452</v>
      </c>
      <c r="C451" t="s">
        <v>1711</v>
      </c>
      <c r="D451" t="s">
        <v>2289</v>
      </c>
      <c r="F451" t="str">
        <f>HYPERLINK("https://vsd.vn/vi/ad/142453","Link")</f>
        <v>Link</v>
      </c>
    </row>
    <row r="452" spans="1:6" x14ac:dyDescent="0.25">
      <c r="A452" s="2">
        <v>44355.702164351853</v>
      </c>
      <c r="B452" t="s">
        <v>453</v>
      </c>
      <c r="C452" t="s">
        <v>1712</v>
      </c>
      <c r="D452" t="s">
        <v>2299</v>
      </c>
      <c r="E452" t="s">
        <v>2676</v>
      </c>
      <c r="F452" t="str">
        <f>HYPERLINK("https://vsd.vn/vi/ad/142448","Link")</f>
        <v>Link</v>
      </c>
    </row>
    <row r="453" spans="1:6" x14ac:dyDescent="0.25">
      <c r="A453" s="2">
        <v>44355.701215277782</v>
      </c>
      <c r="B453" t="s">
        <v>454</v>
      </c>
      <c r="C453" t="s">
        <v>1494</v>
      </c>
      <c r="D453" t="s">
        <v>2298</v>
      </c>
      <c r="E453" t="s">
        <v>2645</v>
      </c>
      <c r="F453" t="str">
        <f>HYPERLINK("https://vsd.vn/vi/ad/142441","Link")</f>
        <v>Link</v>
      </c>
    </row>
    <row r="454" spans="1:6" x14ac:dyDescent="0.25">
      <c r="A454" s="2">
        <v>44355.619490740741</v>
      </c>
      <c r="B454" t="s">
        <v>455</v>
      </c>
      <c r="C454" t="s">
        <v>1468</v>
      </c>
      <c r="D454" t="s">
        <v>2297</v>
      </c>
      <c r="E454" t="s">
        <v>2680</v>
      </c>
      <c r="F454" t="str">
        <f>HYPERLINK("https://vsd.vn/vi/ad/142443","Link")</f>
        <v>Link</v>
      </c>
    </row>
    <row r="455" spans="1:6" x14ac:dyDescent="0.25">
      <c r="A455" s="2">
        <v>44355.485960648148</v>
      </c>
      <c r="B455" t="s">
        <v>456</v>
      </c>
      <c r="C455" t="s">
        <v>1488</v>
      </c>
      <c r="D455" t="s">
        <v>2279</v>
      </c>
      <c r="E455" t="s">
        <v>2598</v>
      </c>
      <c r="F455" t="str">
        <f>HYPERLINK("https://vsd.vn/vi/ad/142440","Link")</f>
        <v>Link</v>
      </c>
    </row>
    <row r="456" spans="1:6" x14ac:dyDescent="0.25">
      <c r="A456" s="2">
        <v>44355.434236111112</v>
      </c>
      <c r="B456" t="s">
        <v>457</v>
      </c>
      <c r="C456" t="s">
        <v>1713</v>
      </c>
      <c r="D456" t="s">
        <v>2296</v>
      </c>
      <c r="E456" t="s">
        <v>2681</v>
      </c>
      <c r="F456" t="str">
        <f>HYPERLINK("https://vsd.vn/vi/ad/142438","Link")</f>
        <v>Link</v>
      </c>
    </row>
    <row r="457" spans="1:6" x14ac:dyDescent="0.25">
      <c r="A457" s="2">
        <v>44354.700381944444</v>
      </c>
      <c r="B457" t="s">
        <v>458</v>
      </c>
      <c r="C457" t="s">
        <v>1484</v>
      </c>
      <c r="D457" t="s">
        <v>2299</v>
      </c>
      <c r="E457" t="s">
        <v>2682</v>
      </c>
      <c r="F457" t="str">
        <f>HYPERLINK("https://vsd.vn/vi/ad/142434","Link")</f>
        <v>Link</v>
      </c>
    </row>
    <row r="458" spans="1:6" x14ac:dyDescent="0.25">
      <c r="A458" s="2">
        <v>44351.776087962957</v>
      </c>
      <c r="B458" t="s">
        <v>459</v>
      </c>
      <c r="F458" t="str">
        <f>HYPERLINK("https://vsd.vn/vi/ad/142393","Link")</f>
        <v>Link</v>
      </c>
    </row>
    <row r="459" spans="1:6" x14ac:dyDescent="0.25">
      <c r="A459" s="2">
        <v>44351.771111111113</v>
      </c>
      <c r="B459" t="s">
        <v>460</v>
      </c>
      <c r="C459" t="s">
        <v>1468</v>
      </c>
      <c r="D459" t="s">
        <v>2300</v>
      </c>
      <c r="E459" t="s">
        <v>2683</v>
      </c>
      <c r="F459" t="str">
        <f>HYPERLINK("https://vsd.vn/vi/ad/142392","Link")</f>
        <v>Link</v>
      </c>
    </row>
    <row r="460" spans="1:6" x14ac:dyDescent="0.25">
      <c r="A460" s="2">
        <v>44351.745833333327</v>
      </c>
      <c r="B460" t="s">
        <v>461</v>
      </c>
      <c r="C460" t="s">
        <v>1714</v>
      </c>
      <c r="D460" t="s">
        <v>2301</v>
      </c>
      <c r="F460" t="str">
        <f>HYPERLINK("https://vsd.vn/vi/ad/142435","Link")</f>
        <v>Link</v>
      </c>
    </row>
    <row r="461" spans="1:6" x14ac:dyDescent="0.25">
      <c r="A461" s="2">
        <v>44351.737800925926</v>
      </c>
      <c r="B461" t="s">
        <v>462</v>
      </c>
      <c r="C461" t="s">
        <v>1715</v>
      </c>
      <c r="D461" t="s">
        <v>2301</v>
      </c>
      <c r="F461" t="str">
        <f>HYPERLINK("https://vsd.vn/vi/ad/142411","Link")</f>
        <v>Link</v>
      </c>
    </row>
    <row r="462" spans="1:6" x14ac:dyDescent="0.25">
      <c r="A462" s="2">
        <v>44351.678472222222</v>
      </c>
      <c r="B462" t="s">
        <v>463</v>
      </c>
      <c r="C462" t="s">
        <v>1716</v>
      </c>
      <c r="D462" t="s">
        <v>2301</v>
      </c>
      <c r="E462" t="s">
        <v>2684</v>
      </c>
      <c r="F462" t="str">
        <f>HYPERLINK("https://vsd.vn/vi/ad/142402","Link")</f>
        <v>Link</v>
      </c>
    </row>
    <row r="463" spans="1:6" x14ac:dyDescent="0.25">
      <c r="A463" s="2">
        <v>44351.678067129629</v>
      </c>
      <c r="B463" t="s">
        <v>464</v>
      </c>
      <c r="C463" t="s">
        <v>1717</v>
      </c>
      <c r="D463" t="s">
        <v>2299</v>
      </c>
      <c r="E463" t="s">
        <v>2674</v>
      </c>
      <c r="F463" t="str">
        <f>HYPERLINK("https://vsd.vn/vi/ad/142403","Link")</f>
        <v>Link</v>
      </c>
    </row>
    <row r="464" spans="1:6" x14ac:dyDescent="0.25">
      <c r="A464" s="2">
        <v>44351.677662037036</v>
      </c>
      <c r="B464" t="s">
        <v>465</v>
      </c>
      <c r="C464" t="s">
        <v>1467</v>
      </c>
      <c r="D464" t="s">
        <v>2301</v>
      </c>
      <c r="E464" t="s">
        <v>2685</v>
      </c>
      <c r="F464" t="str">
        <f>HYPERLINK("https://vsd.vn/vi/ad/142404","Link")</f>
        <v>Link</v>
      </c>
    </row>
    <row r="465" spans="1:6" x14ac:dyDescent="0.25">
      <c r="A465" s="2">
        <v>44351.584629629629</v>
      </c>
      <c r="B465" t="s">
        <v>466</v>
      </c>
      <c r="F465" t="str">
        <f>HYPERLINK("https://vsd.vn/vi/ad/142368","Link")</f>
        <v>Link</v>
      </c>
    </row>
    <row r="466" spans="1:6" x14ac:dyDescent="0.25">
      <c r="A466" s="2">
        <v>44351.570324074077</v>
      </c>
      <c r="B466" t="s">
        <v>467</v>
      </c>
      <c r="C466" t="s">
        <v>1718</v>
      </c>
      <c r="D466" t="s">
        <v>2300</v>
      </c>
      <c r="E466" t="s">
        <v>2686</v>
      </c>
      <c r="F466" t="str">
        <f>HYPERLINK("https://vsd.vn/vi/ad/142328","Link")</f>
        <v>Link</v>
      </c>
    </row>
    <row r="467" spans="1:6" x14ac:dyDescent="0.25">
      <c r="A467" s="2">
        <v>44351.569976851853</v>
      </c>
      <c r="B467" t="s">
        <v>468</v>
      </c>
      <c r="C467" t="s">
        <v>1494</v>
      </c>
      <c r="D467" t="s">
        <v>2302</v>
      </c>
      <c r="E467" t="s">
        <v>2687</v>
      </c>
      <c r="F467" t="str">
        <f>HYPERLINK("https://vsd.vn/vi/ad/142325","Link")</f>
        <v>Link</v>
      </c>
    </row>
    <row r="468" spans="1:6" x14ac:dyDescent="0.25">
      <c r="A468" s="2">
        <v>44351.569189814807</v>
      </c>
      <c r="B468" t="s">
        <v>469</v>
      </c>
      <c r="C468" t="s">
        <v>1719</v>
      </c>
      <c r="D468" t="s">
        <v>2300</v>
      </c>
      <c r="E468" t="s">
        <v>2688</v>
      </c>
      <c r="F468" t="str">
        <f>HYPERLINK("https://vsd.vn/vi/ad/142317","Link")</f>
        <v>Link</v>
      </c>
    </row>
    <row r="469" spans="1:6" x14ac:dyDescent="0.25">
      <c r="A469" s="2">
        <v>44351.568194444437</v>
      </c>
      <c r="B469" t="s">
        <v>470</v>
      </c>
      <c r="C469" t="s">
        <v>1720</v>
      </c>
      <c r="D469" t="s">
        <v>2302</v>
      </c>
      <c r="E469" t="s">
        <v>2689</v>
      </c>
      <c r="F469" t="str">
        <f>HYPERLINK("https://vsd.vn/vi/ad/142314","Link")</f>
        <v>Link</v>
      </c>
    </row>
    <row r="470" spans="1:6" x14ac:dyDescent="0.25">
      <c r="A470" s="2">
        <v>44350.713460648149</v>
      </c>
      <c r="B470" t="s">
        <v>471</v>
      </c>
      <c r="F470" t="str">
        <f>HYPERLINK("https://vsd.vn/vi/ad/142357","Link")</f>
        <v>Link</v>
      </c>
    </row>
    <row r="471" spans="1:6" x14ac:dyDescent="0.25">
      <c r="A471" s="2">
        <v>44350.694247685176</v>
      </c>
      <c r="B471" t="s">
        <v>472</v>
      </c>
      <c r="C471" t="s">
        <v>1721</v>
      </c>
      <c r="D471" t="s">
        <v>2294</v>
      </c>
      <c r="E471" t="s">
        <v>2690</v>
      </c>
      <c r="F471" t="str">
        <f>HYPERLINK("https://vsd.vn/vi/ad/142354","Link")</f>
        <v>Link</v>
      </c>
    </row>
    <row r="472" spans="1:6" x14ac:dyDescent="0.25">
      <c r="A472" s="2">
        <v>44350.693773148138</v>
      </c>
      <c r="B472" t="s">
        <v>473</v>
      </c>
      <c r="C472" t="s">
        <v>1722</v>
      </c>
      <c r="D472" t="s">
        <v>2301</v>
      </c>
      <c r="E472" t="s">
        <v>2691</v>
      </c>
      <c r="F472" t="str">
        <f>HYPERLINK("https://vsd.vn/vi/ad/142351","Link")</f>
        <v>Link</v>
      </c>
    </row>
    <row r="473" spans="1:6" x14ac:dyDescent="0.25">
      <c r="A473" s="2">
        <v>44350.693379629629</v>
      </c>
      <c r="B473" t="s">
        <v>474</v>
      </c>
      <c r="C473" t="s">
        <v>1723</v>
      </c>
      <c r="D473" t="s">
        <v>2300</v>
      </c>
      <c r="E473" t="s">
        <v>2676</v>
      </c>
      <c r="F473" t="str">
        <f>HYPERLINK("https://vsd.vn/vi/ad/142350","Link")</f>
        <v>Link</v>
      </c>
    </row>
    <row r="474" spans="1:6" x14ac:dyDescent="0.25">
      <c r="A474" s="2">
        <v>44350.627442129633</v>
      </c>
      <c r="B474" t="s">
        <v>475</v>
      </c>
      <c r="F474" t="str">
        <f>HYPERLINK("https://vsd.vn/vi/ad/142331","Link")</f>
        <v>Link</v>
      </c>
    </row>
    <row r="475" spans="1:6" x14ac:dyDescent="0.25">
      <c r="A475" s="2">
        <v>44350.62704861111</v>
      </c>
      <c r="B475" t="s">
        <v>476</v>
      </c>
      <c r="F475" t="str">
        <f>HYPERLINK("https://vsd.vn/vi/ad/142330","Link")</f>
        <v>Link</v>
      </c>
    </row>
    <row r="476" spans="1:6" x14ac:dyDescent="0.25">
      <c r="A476" s="2">
        <v>44350.579282407409</v>
      </c>
      <c r="B476" t="s">
        <v>477</v>
      </c>
      <c r="C476" t="s">
        <v>1724</v>
      </c>
      <c r="D476" t="s">
        <v>2300</v>
      </c>
      <c r="E476" t="s">
        <v>2665</v>
      </c>
      <c r="F476" t="str">
        <f>HYPERLINK("https://vsd.vn/vi/ad/142324","Link")</f>
        <v>Link</v>
      </c>
    </row>
    <row r="477" spans="1:6" x14ac:dyDescent="0.25">
      <c r="A477" s="2">
        <v>44350.458993055552</v>
      </c>
      <c r="B477" t="s">
        <v>478</v>
      </c>
      <c r="C477" t="s">
        <v>1542</v>
      </c>
      <c r="D477" t="s">
        <v>2303</v>
      </c>
      <c r="E477" t="s">
        <v>2692</v>
      </c>
      <c r="F477" t="str">
        <f>HYPERLINK("https://vsd.vn/vi/ad/142323","Link")</f>
        <v>Link</v>
      </c>
    </row>
    <row r="478" spans="1:6" x14ac:dyDescent="0.25">
      <c r="A478" s="2">
        <v>44350.450960648152</v>
      </c>
      <c r="B478" t="s">
        <v>479</v>
      </c>
      <c r="F478" t="str">
        <f>HYPERLINK("https://vsd.vn/vi/ad/142313","Link")</f>
        <v>Link</v>
      </c>
    </row>
    <row r="479" spans="1:6" x14ac:dyDescent="0.25">
      <c r="A479" s="2">
        <v>44350.449733796297</v>
      </c>
      <c r="B479" t="s">
        <v>480</v>
      </c>
      <c r="C479" t="s">
        <v>1603</v>
      </c>
      <c r="D479" t="s">
        <v>2303</v>
      </c>
      <c r="F479" t="str">
        <f>HYPERLINK("https://vsd.vn/vi/ad/142298","Link")</f>
        <v>Link</v>
      </c>
    </row>
    <row r="480" spans="1:6" x14ac:dyDescent="0.25">
      <c r="A480" s="2">
        <v>44350.448101851849</v>
      </c>
      <c r="B480" t="s">
        <v>481</v>
      </c>
      <c r="C480" t="s">
        <v>1477</v>
      </c>
      <c r="D480" t="s">
        <v>2298</v>
      </c>
      <c r="E480" t="s">
        <v>2674</v>
      </c>
      <c r="F480" t="str">
        <f>HYPERLINK("https://vsd.vn/vi/ad/142294","Link")</f>
        <v>Link</v>
      </c>
    </row>
    <row r="481" spans="1:6" x14ac:dyDescent="0.25">
      <c r="A481" s="2">
        <v>44349.691238425927</v>
      </c>
      <c r="B481" t="s">
        <v>482</v>
      </c>
      <c r="C481" t="s">
        <v>1488</v>
      </c>
      <c r="D481" t="s">
        <v>2301</v>
      </c>
      <c r="E481" t="s">
        <v>2676</v>
      </c>
      <c r="F481" t="str">
        <f>HYPERLINK("https://vsd.vn/vi/ad/142300","Link")</f>
        <v>Link</v>
      </c>
    </row>
    <row r="482" spans="1:6" x14ac:dyDescent="0.25">
      <c r="A482" s="2">
        <v>44349.689710648148</v>
      </c>
      <c r="B482" t="s">
        <v>483</v>
      </c>
      <c r="C482" t="s">
        <v>1725</v>
      </c>
      <c r="D482" t="s">
        <v>2300</v>
      </c>
      <c r="E482" t="s">
        <v>2693</v>
      </c>
      <c r="F482" t="str">
        <f>HYPERLINK("https://vsd.vn/vi/ad/142299","Link")</f>
        <v>Link</v>
      </c>
    </row>
    <row r="483" spans="1:6" x14ac:dyDescent="0.25">
      <c r="A483" s="2">
        <v>44349.679340277777</v>
      </c>
      <c r="B483" t="s">
        <v>396</v>
      </c>
      <c r="E483" t="s">
        <v>2694</v>
      </c>
      <c r="F483" t="str">
        <f>HYPERLINK("https://vsd.vn/vi/ad/142297","Link")</f>
        <v>Link</v>
      </c>
    </row>
    <row r="484" spans="1:6" x14ac:dyDescent="0.25">
      <c r="A484" s="2">
        <v>44349.678807870368</v>
      </c>
      <c r="B484" t="s">
        <v>484</v>
      </c>
      <c r="C484" t="s">
        <v>1726</v>
      </c>
      <c r="D484" t="s">
        <v>2303</v>
      </c>
      <c r="E484" t="s">
        <v>2695</v>
      </c>
      <c r="F484" t="str">
        <f>HYPERLINK("https://vsd.vn/vi/ad/142296","Link")</f>
        <v>Link</v>
      </c>
    </row>
    <row r="485" spans="1:6" x14ac:dyDescent="0.25">
      <c r="A485" s="2">
        <v>44349.673252314817</v>
      </c>
      <c r="B485" t="s">
        <v>485</v>
      </c>
      <c r="C485" t="s">
        <v>1467</v>
      </c>
      <c r="D485" t="s">
        <v>2301</v>
      </c>
      <c r="E485" t="s">
        <v>2652</v>
      </c>
      <c r="F485" t="str">
        <f>HYPERLINK("https://vsd.vn/vi/ad/142295","Link")</f>
        <v>Link</v>
      </c>
    </row>
    <row r="486" spans="1:6" x14ac:dyDescent="0.25">
      <c r="A486" s="2">
        <v>44349.633703703701</v>
      </c>
      <c r="B486" t="s">
        <v>486</v>
      </c>
      <c r="C486" t="s">
        <v>1727</v>
      </c>
      <c r="D486" t="s">
        <v>2304</v>
      </c>
      <c r="F486" t="str">
        <f>HYPERLINK("https://vsd.vn/vi/ad/142261","Link")</f>
        <v>Link</v>
      </c>
    </row>
    <row r="487" spans="1:6" x14ac:dyDescent="0.25">
      <c r="A487" s="2">
        <v>44349.631956018522</v>
      </c>
      <c r="B487" t="s">
        <v>487</v>
      </c>
      <c r="C487" t="s">
        <v>1467</v>
      </c>
      <c r="D487" t="s">
        <v>2300</v>
      </c>
      <c r="E487" t="s">
        <v>2696</v>
      </c>
      <c r="F487" t="str">
        <f>HYPERLINK("https://vsd.vn/vi/ad/142289","Link")</f>
        <v>Link</v>
      </c>
    </row>
    <row r="488" spans="1:6" x14ac:dyDescent="0.25">
      <c r="A488" s="2">
        <v>44349.608796296299</v>
      </c>
      <c r="B488" t="s">
        <v>488</v>
      </c>
      <c r="C488" t="s">
        <v>1728</v>
      </c>
      <c r="D488" t="s">
        <v>2296</v>
      </c>
      <c r="E488" t="s">
        <v>2697</v>
      </c>
      <c r="F488" t="str">
        <f>HYPERLINK("https://vsd.vn/vi/ad/142287","Link")</f>
        <v>Link</v>
      </c>
    </row>
    <row r="489" spans="1:6" x14ac:dyDescent="0.25">
      <c r="A489" s="2">
        <v>44349.608298611107</v>
      </c>
      <c r="B489" t="s">
        <v>489</v>
      </c>
      <c r="D489" t="s">
        <v>2300</v>
      </c>
      <c r="E489" t="s">
        <v>2698</v>
      </c>
      <c r="F489" t="str">
        <f>HYPERLINK("https://vsd.vn/vi/ad/142260","Link")</f>
        <v>Link</v>
      </c>
    </row>
    <row r="490" spans="1:6" x14ac:dyDescent="0.25">
      <c r="A490" s="2">
        <v>44349.607719907413</v>
      </c>
      <c r="B490" t="s">
        <v>490</v>
      </c>
      <c r="C490" t="s">
        <v>1729</v>
      </c>
      <c r="D490" t="s">
        <v>2300</v>
      </c>
      <c r="F490" t="str">
        <f>HYPERLINK("https://vsd.vn/vi/ad/142288","Link")</f>
        <v>Link</v>
      </c>
    </row>
    <row r="491" spans="1:6" x14ac:dyDescent="0.25">
      <c r="A491" s="2">
        <v>44349.595729166656</v>
      </c>
      <c r="B491" t="s">
        <v>491</v>
      </c>
      <c r="C491" t="s">
        <v>1730</v>
      </c>
      <c r="D491" t="s">
        <v>2302</v>
      </c>
      <c r="F491" t="str">
        <f>HYPERLINK("https://vsd.vn/vi/ad/142285","Link")</f>
        <v>Link</v>
      </c>
    </row>
    <row r="492" spans="1:6" x14ac:dyDescent="0.25">
      <c r="A492" s="2">
        <v>44349.593449074076</v>
      </c>
      <c r="B492" t="s">
        <v>492</v>
      </c>
      <c r="C492" t="s">
        <v>1606</v>
      </c>
      <c r="D492" t="s">
        <v>2303</v>
      </c>
      <c r="F492" t="str">
        <f>HYPERLINK("https://vsd.vn/vi/ad/142284","Link")</f>
        <v>Link</v>
      </c>
    </row>
    <row r="493" spans="1:6" x14ac:dyDescent="0.25">
      <c r="A493" s="2">
        <v>44349.486307870371</v>
      </c>
      <c r="B493" t="s">
        <v>493</v>
      </c>
      <c r="C493" t="s">
        <v>1731</v>
      </c>
      <c r="D493" t="s">
        <v>2300</v>
      </c>
      <c r="E493" t="s">
        <v>2699</v>
      </c>
      <c r="F493" t="str">
        <f>HYPERLINK("https://vsd.vn/vi/ad/142276","Link")</f>
        <v>Link</v>
      </c>
    </row>
    <row r="494" spans="1:6" x14ac:dyDescent="0.25">
      <c r="A494" s="2">
        <v>44349.485868055563</v>
      </c>
      <c r="B494" t="s">
        <v>494</v>
      </c>
      <c r="C494" t="s">
        <v>1732</v>
      </c>
      <c r="D494" t="s">
        <v>2300</v>
      </c>
      <c r="F494" t="str">
        <f>HYPERLINK("https://vsd.vn/vi/ad/142277","Link")</f>
        <v>Link</v>
      </c>
    </row>
    <row r="495" spans="1:6" x14ac:dyDescent="0.25">
      <c r="A495" s="2">
        <v>44349.485451388893</v>
      </c>
      <c r="B495" t="s">
        <v>495</v>
      </c>
      <c r="C495" t="s">
        <v>1480</v>
      </c>
      <c r="D495" t="s">
        <v>2297</v>
      </c>
      <c r="E495" t="s">
        <v>2642</v>
      </c>
      <c r="F495" t="str">
        <f>HYPERLINK("https://vsd.vn/vi/ad/142269","Link")</f>
        <v>Link</v>
      </c>
    </row>
    <row r="496" spans="1:6" x14ac:dyDescent="0.25">
      <c r="A496" s="2">
        <v>44349.484571759262</v>
      </c>
      <c r="B496" t="s">
        <v>496</v>
      </c>
      <c r="C496" t="s">
        <v>1467</v>
      </c>
      <c r="D496" t="s">
        <v>2300</v>
      </c>
      <c r="E496" t="s">
        <v>2674</v>
      </c>
      <c r="F496" t="str">
        <f>HYPERLINK("https://vsd.vn/vi/ad/142270","Link")</f>
        <v>Link</v>
      </c>
    </row>
    <row r="497" spans="1:6" x14ac:dyDescent="0.25">
      <c r="A497" s="2">
        <v>44349.484143518523</v>
      </c>
      <c r="B497" t="s">
        <v>497</v>
      </c>
      <c r="C497" t="s">
        <v>1468</v>
      </c>
      <c r="D497" t="s">
        <v>2300</v>
      </c>
      <c r="E497" t="s">
        <v>2685</v>
      </c>
      <c r="F497" t="str">
        <f>HYPERLINK("https://vsd.vn/vi/ad/142279","Link")</f>
        <v>Link</v>
      </c>
    </row>
    <row r="498" spans="1:6" x14ac:dyDescent="0.25">
      <c r="A498" s="2">
        <v>44349.382349537038</v>
      </c>
      <c r="B498" t="s">
        <v>498</v>
      </c>
      <c r="C498" t="s">
        <v>1733</v>
      </c>
      <c r="D498" t="s">
        <v>2303</v>
      </c>
      <c r="F498" t="str">
        <f>HYPERLINK("https://vsd.vn/vi/ad/142280","Link")</f>
        <v>Link</v>
      </c>
    </row>
    <row r="499" spans="1:6" x14ac:dyDescent="0.25">
      <c r="A499" s="2">
        <v>44349.371458333328</v>
      </c>
      <c r="B499" t="s">
        <v>499</v>
      </c>
      <c r="C499" t="s">
        <v>1734</v>
      </c>
      <c r="D499" t="s">
        <v>2300</v>
      </c>
      <c r="E499" t="s">
        <v>2674</v>
      </c>
      <c r="F499" t="str">
        <f>HYPERLINK("https://vsd.vn/vi/ad/142273","Link")</f>
        <v>Link</v>
      </c>
    </row>
    <row r="500" spans="1:6" x14ac:dyDescent="0.25">
      <c r="A500" s="2">
        <v>44348.691874999997</v>
      </c>
      <c r="B500" t="s">
        <v>500</v>
      </c>
      <c r="C500" t="s">
        <v>1500</v>
      </c>
      <c r="D500" t="s">
        <v>2304</v>
      </c>
      <c r="E500" t="s">
        <v>2700</v>
      </c>
      <c r="F500" t="str">
        <f>HYPERLINK("https://vsd.vn/vi/ad/142267","Link")</f>
        <v>Link</v>
      </c>
    </row>
    <row r="501" spans="1:6" x14ac:dyDescent="0.25">
      <c r="A501" s="2">
        <v>44348.687094907407</v>
      </c>
      <c r="B501" t="s">
        <v>501</v>
      </c>
      <c r="C501" t="s">
        <v>1467</v>
      </c>
      <c r="D501" t="s">
        <v>2296</v>
      </c>
      <c r="E501" t="s">
        <v>2665</v>
      </c>
      <c r="F501" t="str">
        <f>HYPERLINK("https://vsd.vn/vi/ad/142265","Link")</f>
        <v>Link</v>
      </c>
    </row>
    <row r="502" spans="1:6" x14ac:dyDescent="0.25">
      <c r="A502" s="2">
        <v>44348.686805555553</v>
      </c>
      <c r="B502" t="s">
        <v>502</v>
      </c>
      <c r="C502" t="s">
        <v>1545</v>
      </c>
      <c r="D502" t="s">
        <v>2302</v>
      </c>
      <c r="E502" t="s">
        <v>2674</v>
      </c>
      <c r="F502" t="str">
        <f>HYPERLINK("https://vsd.vn/vi/ad/142266","Link")</f>
        <v>Link</v>
      </c>
    </row>
    <row r="503" spans="1:6" x14ac:dyDescent="0.25">
      <c r="A503" s="2">
        <v>44348.686724537038</v>
      </c>
      <c r="B503" t="s">
        <v>503</v>
      </c>
      <c r="C503" t="s">
        <v>1542</v>
      </c>
      <c r="D503" t="s">
        <v>2302</v>
      </c>
      <c r="E503" t="s">
        <v>2685</v>
      </c>
      <c r="F503" t="str">
        <f>HYPERLINK("https://vsd.vn/vi/ad/142264","Link")</f>
        <v>Link</v>
      </c>
    </row>
    <row r="504" spans="1:6" x14ac:dyDescent="0.25">
      <c r="A504" s="2">
        <v>44348.627800925933</v>
      </c>
      <c r="B504" t="s">
        <v>504</v>
      </c>
      <c r="C504" t="s">
        <v>1494</v>
      </c>
      <c r="D504" t="s">
        <v>2303</v>
      </c>
      <c r="E504" t="s">
        <v>2676</v>
      </c>
      <c r="F504" t="str">
        <f>HYPERLINK("https://vsd.vn/vi/ad/142258","Link")</f>
        <v>Link</v>
      </c>
    </row>
    <row r="505" spans="1:6" x14ac:dyDescent="0.25">
      <c r="A505" s="2">
        <v>44348.466608796298</v>
      </c>
      <c r="B505" t="s">
        <v>505</v>
      </c>
      <c r="C505" t="s">
        <v>1735</v>
      </c>
      <c r="D505" t="s">
        <v>2303</v>
      </c>
      <c r="F505" t="str">
        <f>HYPERLINK("https://vsd.vn/vi/ad/142250","Link")</f>
        <v>Link</v>
      </c>
    </row>
    <row r="506" spans="1:6" x14ac:dyDescent="0.25">
      <c r="A506" s="2">
        <v>44348.341458333343</v>
      </c>
      <c r="B506" t="s">
        <v>506</v>
      </c>
      <c r="C506" t="s">
        <v>1477</v>
      </c>
      <c r="D506" t="s">
        <v>2283</v>
      </c>
      <c r="E506" t="s">
        <v>2643</v>
      </c>
      <c r="F506" t="str">
        <f>HYPERLINK("https://vsd.vn/vi/ad/142242","Link")</f>
        <v>Link</v>
      </c>
    </row>
    <row r="507" spans="1:6" x14ac:dyDescent="0.25">
      <c r="A507" s="2">
        <v>44347.713541666657</v>
      </c>
      <c r="B507" t="s">
        <v>507</v>
      </c>
      <c r="C507" t="s">
        <v>1736</v>
      </c>
      <c r="D507" t="s">
        <v>2302</v>
      </c>
      <c r="E507" t="s">
        <v>2690</v>
      </c>
      <c r="F507" t="str">
        <f>HYPERLINK("https://vsd.vn/vi/ad/142240","Link")</f>
        <v>Link</v>
      </c>
    </row>
    <row r="508" spans="1:6" x14ac:dyDescent="0.25">
      <c r="A508" s="2">
        <v>44347.713171296287</v>
      </c>
      <c r="B508" t="s">
        <v>508</v>
      </c>
      <c r="C508" t="s">
        <v>1468</v>
      </c>
      <c r="D508" t="s">
        <v>2302</v>
      </c>
      <c r="E508" t="s">
        <v>2689</v>
      </c>
      <c r="F508" t="str">
        <f>HYPERLINK("https://vsd.vn/vi/ad/142241","Link")</f>
        <v>Link</v>
      </c>
    </row>
    <row r="509" spans="1:6" x14ac:dyDescent="0.25">
      <c r="A509" s="2">
        <v>44347.703206018523</v>
      </c>
      <c r="B509" t="s">
        <v>509</v>
      </c>
      <c r="C509" t="s">
        <v>1542</v>
      </c>
      <c r="D509" t="s">
        <v>2300</v>
      </c>
      <c r="E509" t="s">
        <v>2701</v>
      </c>
      <c r="F509" t="str">
        <f>HYPERLINK("https://vsd.vn/vi/ad/142230","Link")</f>
        <v>Link</v>
      </c>
    </row>
    <row r="510" spans="1:6" x14ac:dyDescent="0.25">
      <c r="A510" s="2">
        <v>44347.702256944453</v>
      </c>
      <c r="B510" t="s">
        <v>510</v>
      </c>
      <c r="C510" t="s">
        <v>1737</v>
      </c>
      <c r="D510" t="s">
        <v>2303</v>
      </c>
      <c r="F510" t="str">
        <f>HYPERLINK("https://vsd.vn/vi/ad/142239","Link")</f>
        <v>Link</v>
      </c>
    </row>
    <row r="511" spans="1:6" x14ac:dyDescent="0.25">
      <c r="A511" s="2">
        <v>44347.647766203707</v>
      </c>
      <c r="B511" t="s">
        <v>511</v>
      </c>
      <c r="C511" t="s">
        <v>1738</v>
      </c>
      <c r="D511" t="s">
        <v>2303</v>
      </c>
      <c r="E511" t="s">
        <v>2702</v>
      </c>
      <c r="F511" t="str">
        <f>HYPERLINK("https://vsd.vn/vi/ad/142232","Link")</f>
        <v>Link</v>
      </c>
    </row>
    <row r="512" spans="1:6" x14ac:dyDescent="0.25">
      <c r="A512" s="2">
        <v>44347.646932870368</v>
      </c>
      <c r="B512" t="s">
        <v>512</v>
      </c>
      <c r="C512" t="s">
        <v>1467</v>
      </c>
      <c r="D512" t="s">
        <v>2299</v>
      </c>
      <c r="E512" t="s">
        <v>2676</v>
      </c>
      <c r="F512" t="str">
        <f>HYPERLINK("https://vsd.vn/vi/ad/142234","Link")</f>
        <v>Link</v>
      </c>
    </row>
    <row r="513" spans="1:6" x14ac:dyDescent="0.25">
      <c r="A513" s="2">
        <v>44347.643761574072</v>
      </c>
      <c r="B513" t="s">
        <v>513</v>
      </c>
      <c r="C513" t="s">
        <v>1638</v>
      </c>
      <c r="D513" t="s">
        <v>2302</v>
      </c>
      <c r="E513" t="s">
        <v>2703</v>
      </c>
      <c r="F513" t="str">
        <f>HYPERLINK("https://vsd.vn/vi/ad/142236","Link")</f>
        <v>Link</v>
      </c>
    </row>
    <row r="514" spans="1:6" x14ac:dyDescent="0.25">
      <c r="A514" s="2">
        <v>44344.714641203696</v>
      </c>
      <c r="B514" t="s">
        <v>514</v>
      </c>
      <c r="C514" t="s">
        <v>1739</v>
      </c>
      <c r="D514" t="s">
        <v>2304</v>
      </c>
      <c r="E514" t="s">
        <v>2704</v>
      </c>
      <c r="F514" t="str">
        <f>HYPERLINK("https://vsd.vn/vi/ad/142181","Link")</f>
        <v>Link</v>
      </c>
    </row>
    <row r="515" spans="1:6" x14ac:dyDescent="0.25">
      <c r="A515" s="2">
        <v>44344.709363425929</v>
      </c>
      <c r="B515" t="s">
        <v>515</v>
      </c>
      <c r="D515" t="s">
        <v>2304</v>
      </c>
      <c r="F515" t="str">
        <f>HYPERLINK("https://vsd.vn/vi/ad/142209","Link")</f>
        <v>Link</v>
      </c>
    </row>
    <row r="516" spans="1:6" x14ac:dyDescent="0.25">
      <c r="A516" s="2">
        <v>44344.705717592587</v>
      </c>
      <c r="B516" t="s">
        <v>516</v>
      </c>
      <c r="C516" t="s">
        <v>1740</v>
      </c>
      <c r="D516" t="s">
        <v>2304</v>
      </c>
      <c r="E516" t="s">
        <v>2705</v>
      </c>
      <c r="F516" t="str">
        <f>HYPERLINK("https://vsd.vn/vi/ad/142204","Link")</f>
        <v>Link</v>
      </c>
    </row>
    <row r="517" spans="1:6" x14ac:dyDescent="0.25">
      <c r="A517" s="2">
        <v>44344.704247685193</v>
      </c>
      <c r="B517" t="s">
        <v>517</v>
      </c>
      <c r="C517" t="s">
        <v>1484</v>
      </c>
      <c r="D517" t="s">
        <v>2304</v>
      </c>
      <c r="E517" t="s">
        <v>2706</v>
      </c>
      <c r="F517" t="str">
        <f>HYPERLINK("https://vsd.vn/vi/ad/142208","Link")</f>
        <v>Link</v>
      </c>
    </row>
    <row r="518" spans="1:6" x14ac:dyDescent="0.25">
      <c r="A518" s="2">
        <v>44344.698692129627</v>
      </c>
      <c r="B518" t="s">
        <v>518</v>
      </c>
      <c r="C518" t="s">
        <v>1741</v>
      </c>
      <c r="D518" t="s">
        <v>2303</v>
      </c>
      <c r="E518" t="s">
        <v>2689</v>
      </c>
      <c r="F518" t="str">
        <f>HYPERLINK("https://vsd.vn/vi/ad/142197","Link")</f>
        <v>Link</v>
      </c>
    </row>
    <row r="519" spans="1:6" x14ac:dyDescent="0.25">
      <c r="A519" s="2">
        <v>44344.676157407397</v>
      </c>
      <c r="B519" t="s">
        <v>519</v>
      </c>
      <c r="C519" t="s">
        <v>1494</v>
      </c>
      <c r="D519" t="s">
        <v>2304</v>
      </c>
      <c r="E519" t="s">
        <v>2692</v>
      </c>
      <c r="F519" t="str">
        <f>HYPERLINK("https://vsd.vn/vi/ad/142199","Link")</f>
        <v>Link</v>
      </c>
    </row>
    <row r="520" spans="1:6" x14ac:dyDescent="0.25">
      <c r="A520" s="2">
        <v>44344.67559027778</v>
      </c>
      <c r="B520" t="s">
        <v>520</v>
      </c>
      <c r="C520" t="s">
        <v>1742</v>
      </c>
      <c r="D520" t="s">
        <v>2304</v>
      </c>
      <c r="E520" t="s">
        <v>2707</v>
      </c>
      <c r="F520" t="str">
        <f>HYPERLINK("https://vsd.vn/vi/ad/142198","Link")</f>
        <v>Link</v>
      </c>
    </row>
    <row r="521" spans="1:6" x14ac:dyDescent="0.25">
      <c r="A521" s="2">
        <v>44344.446030092593</v>
      </c>
      <c r="B521" t="s">
        <v>521</v>
      </c>
      <c r="C521" t="s">
        <v>1743</v>
      </c>
      <c r="D521" t="s">
        <v>2304</v>
      </c>
      <c r="E521" t="s">
        <v>2685</v>
      </c>
      <c r="F521" t="str">
        <f>HYPERLINK("https://vsd.vn/vi/ad/142183","Link")</f>
        <v>Link</v>
      </c>
    </row>
    <row r="522" spans="1:6" x14ac:dyDescent="0.25">
      <c r="A522" s="2">
        <v>44344.422893518517</v>
      </c>
      <c r="B522" t="s">
        <v>522</v>
      </c>
      <c r="C522" t="s">
        <v>1469</v>
      </c>
      <c r="D522" t="s">
        <v>2304</v>
      </c>
      <c r="E522" t="s">
        <v>2708</v>
      </c>
      <c r="F522" t="str">
        <f>HYPERLINK("https://vsd.vn/vi/ad/142179","Link")</f>
        <v>Link</v>
      </c>
    </row>
    <row r="523" spans="1:6" x14ac:dyDescent="0.25">
      <c r="A523" s="2">
        <v>44344.422511574077</v>
      </c>
      <c r="B523" t="s">
        <v>523</v>
      </c>
      <c r="C523" t="s">
        <v>1479</v>
      </c>
      <c r="D523" t="s">
        <v>2304</v>
      </c>
      <c r="E523" t="s">
        <v>2709</v>
      </c>
      <c r="F523" t="str">
        <f>HYPERLINK("https://vsd.vn/vi/ad/142160","Link")</f>
        <v>Link</v>
      </c>
    </row>
    <row r="524" spans="1:6" x14ac:dyDescent="0.25">
      <c r="A524" s="2">
        <v>44343.673541666663</v>
      </c>
      <c r="B524" t="s">
        <v>524</v>
      </c>
      <c r="C524" t="s">
        <v>1744</v>
      </c>
      <c r="D524" t="s">
        <v>2304</v>
      </c>
      <c r="E524" t="s">
        <v>2710</v>
      </c>
      <c r="F524" t="str">
        <f>HYPERLINK("https://vsd.vn/vi/ad/142162","Link")</f>
        <v>Link</v>
      </c>
    </row>
    <row r="525" spans="1:6" x14ac:dyDescent="0.25">
      <c r="A525" s="2">
        <v>44343.67260416667</v>
      </c>
      <c r="B525" t="s">
        <v>525</v>
      </c>
      <c r="C525" t="s">
        <v>1699</v>
      </c>
      <c r="D525" t="s">
        <v>2302</v>
      </c>
      <c r="E525" t="s">
        <v>2710</v>
      </c>
      <c r="F525" t="str">
        <f>HYPERLINK("https://vsd.vn/vi/ad/142166","Link")</f>
        <v>Link</v>
      </c>
    </row>
    <row r="526" spans="1:6" x14ac:dyDescent="0.25">
      <c r="A526" s="2">
        <v>44343.672152777777</v>
      </c>
      <c r="B526" t="s">
        <v>526</v>
      </c>
      <c r="C526" t="s">
        <v>1479</v>
      </c>
      <c r="D526" t="s">
        <v>2290</v>
      </c>
      <c r="E526" t="s">
        <v>2711</v>
      </c>
      <c r="F526" t="str">
        <f>HYPERLINK("https://vsd.vn/vi/ad/142164","Link")</f>
        <v>Link</v>
      </c>
    </row>
    <row r="527" spans="1:6" x14ac:dyDescent="0.25">
      <c r="A527" s="2">
        <v>44343.638923611114</v>
      </c>
      <c r="B527" t="s">
        <v>527</v>
      </c>
      <c r="C527" t="s">
        <v>1649</v>
      </c>
      <c r="D527" t="s">
        <v>2304</v>
      </c>
      <c r="E527" t="s">
        <v>2695</v>
      </c>
      <c r="F527" t="str">
        <f>HYPERLINK("https://vsd.vn/vi/ad/142159","Link")</f>
        <v>Link</v>
      </c>
    </row>
    <row r="528" spans="1:6" x14ac:dyDescent="0.25">
      <c r="A528" s="2">
        <v>44343.570428240739</v>
      </c>
      <c r="B528" t="s">
        <v>528</v>
      </c>
      <c r="C528" t="s">
        <v>1745</v>
      </c>
      <c r="D528" t="s">
        <v>2303</v>
      </c>
      <c r="F528" t="str">
        <f>HYPERLINK("https://vsd.vn/vi/ad/142138","Link")</f>
        <v>Link</v>
      </c>
    </row>
    <row r="529" spans="1:6" x14ac:dyDescent="0.25">
      <c r="A529" s="2">
        <v>44343.477037037039</v>
      </c>
      <c r="B529" t="s">
        <v>529</v>
      </c>
      <c r="C529" t="s">
        <v>1746</v>
      </c>
      <c r="D529" t="s">
        <v>2304</v>
      </c>
      <c r="F529" t="str">
        <f>HYPERLINK("https://vsd.vn/vi/ad/142137","Link")</f>
        <v>Link</v>
      </c>
    </row>
    <row r="530" spans="1:6" x14ac:dyDescent="0.25">
      <c r="A530" s="2">
        <v>44343.395972222221</v>
      </c>
      <c r="B530" t="s">
        <v>530</v>
      </c>
      <c r="C530" t="s">
        <v>1747</v>
      </c>
      <c r="D530" t="s">
        <v>2305</v>
      </c>
      <c r="E530" t="s">
        <v>2712</v>
      </c>
      <c r="F530" t="str">
        <f>HYPERLINK("https://vsd.vn/vi/ad/142131","Link")</f>
        <v>Link</v>
      </c>
    </row>
    <row r="531" spans="1:6" x14ac:dyDescent="0.25">
      <c r="A531" s="2">
        <v>44343.394641203697</v>
      </c>
      <c r="B531" t="s">
        <v>531</v>
      </c>
      <c r="C531" t="s">
        <v>1484</v>
      </c>
      <c r="D531" t="s">
        <v>2294</v>
      </c>
      <c r="E531" t="s">
        <v>2713</v>
      </c>
      <c r="F531" t="str">
        <f>HYPERLINK("https://vsd.vn/vi/ad/142136","Link")</f>
        <v>Link</v>
      </c>
    </row>
    <row r="532" spans="1:6" x14ac:dyDescent="0.25">
      <c r="A532" s="2">
        <v>44343.394201388888</v>
      </c>
      <c r="B532" t="s">
        <v>532</v>
      </c>
      <c r="C532" t="s">
        <v>1537</v>
      </c>
      <c r="D532" t="s">
        <v>2306</v>
      </c>
      <c r="E532" t="s">
        <v>2714</v>
      </c>
      <c r="F532" t="str">
        <f>HYPERLINK("https://vsd.vn/vi/ad/142130","Link")</f>
        <v>Link</v>
      </c>
    </row>
    <row r="533" spans="1:6" x14ac:dyDescent="0.25">
      <c r="A533" s="2">
        <v>44342.696134259262</v>
      </c>
      <c r="B533" t="s">
        <v>533</v>
      </c>
      <c r="C533" t="s">
        <v>1748</v>
      </c>
      <c r="D533" t="s">
        <v>2307</v>
      </c>
      <c r="E533" t="s">
        <v>2715</v>
      </c>
      <c r="F533" t="str">
        <f>HYPERLINK("https://vsd.vn/vi/ad/142119","Link")</f>
        <v>Link</v>
      </c>
    </row>
    <row r="534" spans="1:6" x14ac:dyDescent="0.25">
      <c r="A534" s="2">
        <v>44342.682673611111</v>
      </c>
      <c r="B534" t="s">
        <v>534</v>
      </c>
      <c r="C534" t="s">
        <v>1545</v>
      </c>
      <c r="D534" t="s">
        <v>2307</v>
      </c>
      <c r="E534" t="s">
        <v>2683</v>
      </c>
      <c r="F534" t="str">
        <f>HYPERLINK("https://vsd.vn/vi/ad/142110","Link")</f>
        <v>Link</v>
      </c>
    </row>
    <row r="535" spans="1:6" x14ac:dyDescent="0.25">
      <c r="A535" s="2">
        <v>44342.681747685187</v>
      </c>
      <c r="B535" t="s">
        <v>535</v>
      </c>
      <c r="C535" t="s">
        <v>1522</v>
      </c>
      <c r="D535" t="s">
        <v>2305</v>
      </c>
      <c r="E535" t="s">
        <v>2716</v>
      </c>
      <c r="F535" t="str">
        <f>HYPERLINK("https://vsd.vn/vi/ad/142115","Link")</f>
        <v>Link</v>
      </c>
    </row>
    <row r="536" spans="1:6" x14ac:dyDescent="0.25">
      <c r="A536" s="2">
        <v>44342.681319444448</v>
      </c>
      <c r="B536" t="s">
        <v>536</v>
      </c>
      <c r="D536" t="s">
        <v>2307</v>
      </c>
      <c r="F536" t="str">
        <f>HYPERLINK("https://vsd.vn/vi/ad/142107","Link")</f>
        <v>Link</v>
      </c>
    </row>
    <row r="537" spans="1:6" x14ac:dyDescent="0.25">
      <c r="A537" s="2">
        <v>44342.680625000001</v>
      </c>
      <c r="B537" t="s">
        <v>537</v>
      </c>
      <c r="C537" t="s">
        <v>1468</v>
      </c>
      <c r="D537" t="s">
        <v>2307</v>
      </c>
      <c r="E537" t="s">
        <v>2676</v>
      </c>
      <c r="F537" t="str">
        <f>HYPERLINK("https://vsd.vn/vi/ad/142114","Link")</f>
        <v>Link</v>
      </c>
    </row>
    <row r="538" spans="1:6" x14ac:dyDescent="0.25">
      <c r="A538" s="2">
        <v>44342.679942129631</v>
      </c>
      <c r="B538" t="s">
        <v>538</v>
      </c>
      <c r="D538" t="s">
        <v>2306</v>
      </c>
      <c r="F538" t="str">
        <f>HYPERLINK("https://vsd.vn/vi/ad/142099","Link")</f>
        <v>Link</v>
      </c>
    </row>
    <row r="539" spans="1:6" x14ac:dyDescent="0.25">
      <c r="A539" s="2">
        <v>44342.678564814807</v>
      </c>
      <c r="B539" t="s">
        <v>539</v>
      </c>
      <c r="C539" t="s">
        <v>1749</v>
      </c>
      <c r="D539" t="s">
        <v>2306</v>
      </c>
      <c r="F539" t="str">
        <f>HYPERLINK("https://vsd.vn/vi/ad/142098","Link")</f>
        <v>Link</v>
      </c>
    </row>
    <row r="540" spans="1:6" x14ac:dyDescent="0.25">
      <c r="A540" s="2">
        <v>44342.673067129632</v>
      </c>
      <c r="B540" t="s">
        <v>540</v>
      </c>
      <c r="C540" t="s">
        <v>1750</v>
      </c>
      <c r="D540" t="s">
        <v>2308</v>
      </c>
      <c r="E540" t="s">
        <v>2706</v>
      </c>
      <c r="F540" t="str">
        <f>HYPERLINK("https://vsd.vn/vi/ad/142113","Link")</f>
        <v>Link</v>
      </c>
    </row>
    <row r="541" spans="1:6" x14ac:dyDescent="0.25">
      <c r="A541" s="2">
        <v>44342.672500000001</v>
      </c>
      <c r="B541" t="s">
        <v>541</v>
      </c>
      <c r="C541" t="s">
        <v>1468</v>
      </c>
      <c r="D541" t="s">
        <v>2308</v>
      </c>
      <c r="E541" t="s">
        <v>2704</v>
      </c>
      <c r="F541" t="str">
        <f>HYPERLINK("https://vsd.vn/vi/ad/142112","Link")</f>
        <v>Link</v>
      </c>
    </row>
    <row r="542" spans="1:6" x14ac:dyDescent="0.25">
      <c r="A542" s="2">
        <v>44342.671041666668</v>
      </c>
      <c r="B542" t="s">
        <v>542</v>
      </c>
      <c r="C542" t="s">
        <v>1751</v>
      </c>
      <c r="D542" t="s">
        <v>2298</v>
      </c>
      <c r="E542" t="s">
        <v>2717</v>
      </c>
      <c r="F542" t="str">
        <f>HYPERLINK("https://vsd.vn/vi/ad/142111","Link")</f>
        <v>Link</v>
      </c>
    </row>
    <row r="543" spans="1:6" x14ac:dyDescent="0.25">
      <c r="A543" s="2">
        <v>44342.474016203712</v>
      </c>
      <c r="B543" t="s">
        <v>543</v>
      </c>
      <c r="C543" t="s">
        <v>1694</v>
      </c>
      <c r="D543" t="s">
        <v>2306</v>
      </c>
      <c r="E543" t="s">
        <v>2689</v>
      </c>
      <c r="F543" t="str">
        <f>HYPERLINK("https://vsd.vn/vi/ad/142103","Link")</f>
        <v>Link</v>
      </c>
    </row>
    <row r="544" spans="1:6" x14ac:dyDescent="0.25">
      <c r="A544" s="2">
        <v>44342.421851851846</v>
      </c>
      <c r="B544" t="s">
        <v>544</v>
      </c>
      <c r="C544" t="s">
        <v>1752</v>
      </c>
      <c r="D544" t="s">
        <v>2306</v>
      </c>
      <c r="E544" t="s">
        <v>2718</v>
      </c>
      <c r="F544" t="str">
        <f>HYPERLINK("https://vsd.vn/vi/ad/142102","Link")</f>
        <v>Link</v>
      </c>
    </row>
    <row r="545" spans="1:6" x14ac:dyDescent="0.25">
      <c r="A545" s="2">
        <v>44342.420856481483</v>
      </c>
      <c r="B545" t="s">
        <v>543</v>
      </c>
      <c r="C545" t="s">
        <v>1694</v>
      </c>
      <c r="D545" t="s">
        <v>2306</v>
      </c>
      <c r="E545" t="s">
        <v>2689</v>
      </c>
      <c r="F545" t="str">
        <f>HYPERLINK("https://vsd.vn/vi/ad/142101","Link")</f>
        <v>Link</v>
      </c>
    </row>
    <row r="546" spans="1:6" x14ac:dyDescent="0.25">
      <c r="A546" s="2">
        <v>44341.694675925923</v>
      </c>
      <c r="B546" t="s">
        <v>545</v>
      </c>
      <c r="C546" t="s">
        <v>1753</v>
      </c>
      <c r="D546" t="s">
        <v>2301</v>
      </c>
      <c r="E546" t="s">
        <v>2697</v>
      </c>
      <c r="F546" t="str">
        <f>HYPERLINK("https://vsd.vn/vi/ad/142094","Link")</f>
        <v>Link</v>
      </c>
    </row>
    <row r="547" spans="1:6" x14ac:dyDescent="0.25">
      <c r="A547" s="2">
        <v>44341.677060185182</v>
      </c>
      <c r="B547" t="s">
        <v>546</v>
      </c>
      <c r="C547" t="s">
        <v>1689</v>
      </c>
      <c r="D547" t="s">
        <v>2307</v>
      </c>
      <c r="E547" t="s">
        <v>2719</v>
      </c>
      <c r="F547" t="str">
        <f>HYPERLINK("https://vsd.vn/vi/ad/142092","Link")</f>
        <v>Link</v>
      </c>
    </row>
    <row r="548" spans="1:6" x14ac:dyDescent="0.25">
      <c r="A548" s="2">
        <v>44341.669641203713</v>
      </c>
      <c r="B548" t="s">
        <v>547</v>
      </c>
      <c r="C548" t="s">
        <v>1754</v>
      </c>
      <c r="D548" t="s">
        <v>2308</v>
      </c>
      <c r="F548" t="str">
        <f>HYPERLINK("https://vsd.vn/vi/ad/142089","Link")</f>
        <v>Link</v>
      </c>
    </row>
    <row r="549" spans="1:6" x14ac:dyDescent="0.25">
      <c r="A549" s="2">
        <v>44341.668993055559</v>
      </c>
      <c r="B549" t="s">
        <v>548</v>
      </c>
      <c r="C549" t="s">
        <v>1724</v>
      </c>
      <c r="D549" t="s">
        <v>2294</v>
      </c>
      <c r="E549" t="s">
        <v>2649</v>
      </c>
      <c r="F549" t="str">
        <f>HYPERLINK("https://vsd.vn/vi/ad/142091","Link")</f>
        <v>Link</v>
      </c>
    </row>
    <row r="550" spans="1:6" x14ac:dyDescent="0.25">
      <c r="A550" s="2">
        <v>44341.639525462961</v>
      </c>
      <c r="B550" t="s">
        <v>549</v>
      </c>
      <c r="C550" t="s">
        <v>1506</v>
      </c>
      <c r="D550" t="s">
        <v>2306</v>
      </c>
      <c r="E550" t="s">
        <v>2720</v>
      </c>
      <c r="F550" t="str">
        <f>HYPERLINK("https://vsd.vn/vi/ad/142087","Link")</f>
        <v>Link</v>
      </c>
    </row>
    <row r="551" spans="1:6" x14ac:dyDescent="0.25">
      <c r="A551" s="2">
        <v>44341.638923611114</v>
      </c>
      <c r="B551" t="s">
        <v>550</v>
      </c>
      <c r="C551" t="s">
        <v>1755</v>
      </c>
      <c r="D551" t="s">
        <v>2306</v>
      </c>
      <c r="E551" t="s">
        <v>2706</v>
      </c>
      <c r="F551" t="str">
        <f>HYPERLINK("https://vsd.vn/vi/ad/142086","Link")</f>
        <v>Link</v>
      </c>
    </row>
    <row r="552" spans="1:6" x14ac:dyDescent="0.25">
      <c r="A552" s="2">
        <v>44341.633483796293</v>
      </c>
      <c r="B552" t="s">
        <v>551</v>
      </c>
      <c r="C552" t="s">
        <v>1689</v>
      </c>
      <c r="D552" t="s">
        <v>2307</v>
      </c>
      <c r="E552" t="s">
        <v>2721</v>
      </c>
      <c r="F552" t="str">
        <f>HYPERLINK("https://vsd.vn/vi/ad/142085","Link")</f>
        <v>Link</v>
      </c>
    </row>
    <row r="553" spans="1:6" x14ac:dyDescent="0.25">
      <c r="A553" s="2">
        <v>44341.625578703701</v>
      </c>
      <c r="B553" t="s">
        <v>552</v>
      </c>
      <c r="C553" t="s">
        <v>1756</v>
      </c>
      <c r="D553" t="s">
        <v>2306</v>
      </c>
      <c r="F553" t="str">
        <f>HYPERLINK("https://vsd.vn/vi/ad/142082","Link")</f>
        <v>Link</v>
      </c>
    </row>
    <row r="554" spans="1:6" x14ac:dyDescent="0.25">
      <c r="A554" s="2">
        <v>44341.625208333331</v>
      </c>
      <c r="B554" t="s">
        <v>553</v>
      </c>
      <c r="C554" t="s">
        <v>1467</v>
      </c>
      <c r="D554" t="s">
        <v>2307</v>
      </c>
      <c r="E554" t="s">
        <v>2722</v>
      </c>
      <c r="F554" t="str">
        <f>HYPERLINK("https://vsd.vn/vi/ad/142080","Link")</f>
        <v>Link</v>
      </c>
    </row>
    <row r="555" spans="1:6" x14ac:dyDescent="0.25">
      <c r="A555" s="2">
        <v>44341.623414351852</v>
      </c>
      <c r="B555" t="s">
        <v>554</v>
      </c>
      <c r="C555" t="s">
        <v>1734</v>
      </c>
      <c r="D555" t="s">
        <v>2307</v>
      </c>
      <c r="E555" t="s">
        <v>2708</v>
      </c>
      <c r="F555" t="str">
        <f>HYPERLINK("https://vsd.vn/vi/ad/142079","Link")</f>
        <v>Link</v>
      </c>
    </row>
    <row r="556" spans="1:6" x14ac:dyDescent="0.25">
      <c r="A556" s="2">
        <v>44341.622708333343</v>
      </c>
      <c r="B556" t="s">
        <v>555</v>
      </c>
      <c r="C556" t="s">
        <v>1485</v>
      </c>
      <c r="D556" t="s">
        <v>2300</v>
      </c>
      <c r="E556" t="s">
        <v>2674</v>
      </c>
      <c r="F556" t="str">
        <f>HYPERLINK("https://vsd.vn/vi/ad/142078","Link")</f>
        <v>Link</v>
      </c>
    </row>
    <row r="557" spans="1:6" x14ac:dyDescent="0.25">
      <c r="A557" s="2">
        <v>44341.591122685182</v>
      </c>
      <c r="B557" t="s">
        <v>556</v>
      </c>
      <c r="C557" t="s">
        <v>1467</v>
      </c>
      <c r="D557" t="s">
        <v>2306</v>
      </c>
      <c r="E557" t="s">
        <v>2706</v>
      </c>
      <c r="F557" t="str">
        <f>HYPERLINK("https://vsd.vn/vi/ad/142075","Link")</f>
        <v>Link</v>
      </c>
    </row>
    <row r="558" spans="1:6" x14ac:dyDescent="0.25">
      <c r="A558" s="2">
        <v>44341.59065972222</v>
      </c>
      <c r="B558" t="s">
        <v>557</v>
      </c>
      <c r="C558" t="s">
        <v>1467</v>
      </c>
      <c r="D558" t="s">
        <v>2306</v>
      </c>
      <c r="E558" t="s">
        <v>2723</v>
      </c>
      <c r="F558" t="str">
        <f>HYPERLINK("https://vsd.vn/vi/ad/142072","Link")</f>
        <v>Link</v>
      </c>
    </row>
    <row r="559" spans="1:6" x14ac:dyDescent="0.25">
      <c r="A559" s="2">
        <v>44341.406261574077</v>
      </c>
      <c r="B559" t="s">
        <v>558</v>
      </c>
      <c r="C559" t="s">
        <v>1467</v>
      </c>
      <c r="D559" t="s">
        <v>2309</v>
      </c>
      <c r="E559" t="s">
        <v>2685</v>
      </c>
      <c r="F559" t="str">
        <f>HYPERLINK("https://vsd.vn/vi/ad/142070","Link")</f>
        <v>Link</v>
      </c>
    </row>
    <row r="560" spans="1:6" x14ac:dyDescent="0.25">
      <c r="A560" s="2">
        <v>44341.405381944453</v>
      </c>
      <c r="B560" t="s">
        <v>559</v>
      </c>
      <c r="D560" t="s">
        <v>2310</v>
      </c>
      <c r="E560" t="s">
        <v>2724</v>
      </c>
      <c r="F560" t="str">
        <f>HYPERLINK("https://vsd.vn/vi/ad/142069","Link")</f>
        <v>Link</v>
      </c>
    </row>
    <row r="561" spans="1:6" x14ac:dyDescent="0.25">
      <c r="A561" s="2">
        <v>44341.404768518521</v>
      </c>
      <c r="B561" t="s">
        <v>560</v>
      </c>
      <c r="C561" t="s">
        <v>1477</v>
      </c>
      <c r="D561" t="s">
        <v>2307</v>
      </c>
      <c r="E561" t="s">
        <v>2725</v>
      </c>
      <c r="F561" t="str">
        <f>HYPERLINK("https://vsd.vn/vi/ad/142067","Link")</f>
        <v>Link</v>
      </c>
    </row>
    <row r="562" spans="1:6" x14ac:dyDescent="0.25">
      <c r="A562" s="2">
        <v>44341.360497685193</v>
      </c>
      <c r="B562" t="s">
        <v>561</v>
      </c>
      <c r="C562" t="s">
        <v>1757</v>
      </c>
      <c r="D562" t="s">
        <v>2303</v>
      </c>
      <c r="E562" t="s">
        <v>2701</v>
      </c>
      <c r="F562" t="str">
        <f>HYPERLINK("https://vsd.vn/vi/ad/142068","Link")</f>
        <v>Link</v>
      </c>
    </row>
    <row r="563" spans="1:6" x14ac:dyDescent="0.25">
      <c r="A563" s="2">
        <v>44340.695891203701</v>
      </c>
      <c r="B563" t="s">
        <v>562</v>
      </c>
      <c r="C563" t="s">
        <v>1494</v>
      </c>
      <c r="D563" t="s">
        <v>2294</v>
      </c>
      <c r="E563" t="s">
        <v>2645</v>
      </c>
      <c r="F563" t="str">
        <f>HYPERLINK("https://vsd.vn/vi/ad/142062","Link")</f>
        <v>Link</v>
      </c>
    </row>
    <row r="564" spans="1:6" x14ac:dyDescent="0.25">
      <c r="A564" s="2">
        <v>44340.695023148153</v>
      </c>
      <c r="B564" t="s">
        <v>563</v>
      </c>
      <c r="C564" t="s">
        <v>1479</v>
      </c>
      <c r="D564" t="s">
        <v>2307</v>
      </c>
      <c r="E564" t="s">
        <v>2712</v>
      </c>
      <c r="F564" t="str">
        <f>HYPERLINK("https://vsd.vn/vi/ad/142063","Link")</f>
        <v>Link</v>
      </c>
    </row>
    <row r="565" spans="1:6" x14ac:dyDescent="0.25">
      <c r="A565" s="2">
        <v>44340.688437500001</v>
      </c>
      <c r="B565" t="s">
        <v>564</v>
      </c>
      <c r="C565" t="s">
        <v>1758</v>
      </c>
      <c r="D565" t="s">
        <v>2300</v>
      </c>
      <c r="E565" t="s">
        <v>2699</v>
      </c>
      <c r="F565" t="str">
        <f>HYPERLINK("https://vsd.vn/vi/ad/142061","Link")</f>
        <v>Link</v>
      </c>
    </row>
    <row r="566" spans="1:6" x14ac:dyDescent="0.25">
      <c r="A566" s="2">
        <v>44340.673715277779</v>
      </c>
      <c r="B566" t="s">
        <v>565</v>
      </c>
      <c r="C566" t="s">
        <v>1638</v>
      </c>
      <c r="D566" t="s">
        <v>2308</v>
      </c>
      <c r="E566" t="s">
        <v>2726</v>
      </c>
      <c r="F566" t="str">
        <f>HYPERLINK("https://vsd.vn/vi/ad/142057","Link")</f>
        <v>Link</v>
      </c>
    </row>
    <row r="567" spans="1:6" x14ac:dyDescent="0.25">
      <c r="A567" s="2">
        <v>44340.673379629632</v>
      </c>
      <c r="B567" t="s">
        <v>566</v>
      </c>
      <c r="C567" t="s">
        <v>1759</v>
      </c>
      <c r="D567" t="s">
        <v>2305</v>
      </c>
      <c r="E567" t="s">
        <v>2683</v>
      </c>
      <c r="F567" t="str">
        <f>HYPERLINK("https://vsd.vn/vi/ad/142058","Link")</f>
        <v>Link</v>
      </c>
    </row>
    <row r="568" spans="1:6" x14ac:dyDescent="0.25">
      <c r="A568" s="2">
        <v>44337.706562500003</v>
      </c>
      <c r="B568" t="s">
        <v>567</v>
      </c>
      <c r="C568" t="s">
        <v>1760</v>
      </c>
      <c r="D568" t="s">
        <v>2306</v>
      </c>
      <c r="F568" t="str">
        <f>HYPERLINK("https://vsd.vn/vi/ad/142046","Link")</f>
        <v>Link</v>
      </c>
    </row>
    <row r="569" spans="1:6" x14ac:dyDescent="0.25">
      <c r="A569" s="2">
        <v>44337.682337962957</v>
      </c>
      <c r="B569" t="s">
        <v>568</v>
      </c>
      <c r="C569" t="s">
        <v>1533</v>
      </c>
      <c r="D569" t="s">
        <v>2298</v>
      </c>
      <c r="E569" t="s">
        <v>2673</v>
      </c>
      <c r="F569" t="str">
        <f>HYPERLINK("https://vsd.vn/vi/ad/142042","Link")</f>
        <v>Link</v>
      </c>
    </row>
    <row r="570" spans="1:6" x14ac:dyDescent="0.25">
      <c r="A570" s="2">
        <v>44337.681701388887</v>
      </c>
      <c r="B570" t="s">
        <v>569</v>
      </c>
      <c r="C570" t="s">
        <v>1484</v>
      </c>
      <c r="D570" t="s">
        <v>2297</v>
      </c>
      <c r="E570" t="s">
        <v>2654</v>
      </c>
      <c r="F570" t="str">
        <f>HYPERLINK("https://vsd.vn/vi/ad/142043","Link")</f>
        <v>Link</v>
      </c>
    </row>
    <row r="571" spans="1:6" x14ac:dyDescent="0.25">
      <c r="A571" s="2">
        <v>44337.662291666667</v>
      </c>
      <c r="B571" t="s">
        <v>570</v>
      </c>
      <c r="C571" t="s">
        <v>1761</v>
      </c>
      <c r="D571" t="s">
        <v>2310</v>
      </c>
      <c r="E571" t="s">
        <v>2720</v>
      </c>
      <c r="F571" t="str">
        <f>HYPERLINK("https://vsd.vn/vi/ad/142041","Link")</f>
        <v>Link</v>
      </c>
    </row>
    <row r="572" spans="1:6" x14ac:dyDescent="0.25">
      <c r="A572" s="2">
        <v>44337.650416666656</v>
      </c>
      <c r="B572" t="s">
        <v>571</v>
      </c>
      <c r="C572" t="s">
        <v>1762</v>
      </c>
      <c r="D572" t="s">
        <v>2311</v>
      </c>
      <c r="E572" t="s">
        <v>2727</v>
      </c>
      <c r="F572" t="str">
        <f>HYPERLINK("https://vsd.vn/vi/ad/142039","Link")</f>
        <v>Link</v>
      </c>
    </row>
    <row r="573" spans="1:6" x14ac:dyDescent="0.25">
      <c r="A573" s="2">
        <v>44337.647986111107</v>
      </c>
      <c r="B573" t="s">
        <v>572</v>
      </c>
      <c r="C573" t="s">
        <v>1763</v>
      </c>
      <c r="D573" t="s">
        <v>2309</v>
      </c>
      <c r="F573" t="str">
        <f>HYPERLINK("https://vsd.vn/vi/ad/142036","Link")</f>
        <v>Link</v>
      </c>
    </row>
    <row r="574" spans="1:6" x14ac:dyDescent="0.25">
      <c r="A574" s="2">
        <v>44337.644756944443</v>
      </c>
      <c r="B574" t="s">
        <v>573</v>
      </c>
      <c r="C574" t="s">
        <v>1764</v>
      </c>
      <c r="D574" t="s">
        <v>2311</v>
      </c>
      <c r="E574" t="s">
        <v>2728</v>
      </c>
      <c r="F574" t="str">
        <f>HYPERLINK("https://vsd.vn/vi/ad/142037","Link")</f>
        <v>Link</v>
      </c>
    </row>
    <row r="575" spans="1:6" x14ac:dyDescent="0.25">
      <c r="A575" s="2">
        <v>44337.633900462963</v>
      </c>
      <c r="B575" t="s">
        <v>574</v>
      </c>
      <c r="C575" t="s">
        <v>1499</v>
      </c>
      <c r="D575" t="s">
        <v>2310</v>
      </c>
      <c r="E575" t="s">
        <v>2729</v>
      </c>
      <c r="F575" t="str">
        <f>HYPERLINK("https://vsd.vn/vi/ad/142032","Link")</f>
        <v>Link</v>
      </c>
    </row>
    <row r="576" spans="1:6" x14ac:dyDescent="0.25">
      <c r="A576" s="2">
        <v>44337.591782407413</v>
      </c>
      <c r="B576" t="s">
        <v>575</v>
      </c>
      <c r="C576" t="s">
        <v>1765</v>
      </c>
      <c r="D576" t="s">
        <v>2310</v>
      </c>
      <c r="E576" t="s">
        <v>2730</v>
      </c>
      <c r="F576" t="str">
        <f>HYPERLINK("https://vsd.vn/vi/ad/142028","Link")</f>
        <v>Link</v>
      </c>
    </row>
    <row r="577" spans="1:6" x14ac:dyDescent="0.25">
      <c r="A577" s="2">
        <v>44337.478159722217</v>
      </c>
      <c r="B577" t="s">
        <v>576</v>
      </c>
      <c r="C577" t="s">
        <v>1467</v>
      </c>
      <c r="D577" t="s">
        <v>2306</v>
      </c>
      <c r="E577" t="s">
        <v>2676</v>
      </c>
      <c r="F577" t="str">
        <f>HYPERLINK("https://vsd.vn/vi/ad/142030","Link")</f>
        <v>Link</v>
      </c>
    </row>
    <row r="578" spans="1:6" x14ac:dyDescent="0.25">
      <c r="A578" s="2">
        <v>44337.346273148149</v>
      </c>
      <c r="B578" t="s">
        <v>577</v>
      </c>
      <c r="C578" t="s">
        <v>1766</v>
      </c>
      <c r="D578" t="s">
        <v>2309</v>
      </c>
      <c r="E578" t="s">
        <v>2731</v>
      </c>
      <c r="F578" t="str">
        <f>HYPERLINK("https://vsd.vn/vi/ad/142021","Link")</f>
        <v>Link</v>
      </c>
    </row>
    <row r="579" spans="1:6" x14ac:dyDescent="0.25">
      <c r="A579" s="2">
        <v>44336.654618055552</v>
      </c>
      <c r="B579" t="s">
        <v>578</v>
      </c>
      <c r="C579" t="s">
        <v>1472</v>
      </c>
      <c r="D579" t="s">
        <v>2311</v>
      </c>
      <c r="E579" t="s">
        <v>2676</v>
      </c>
      <c r="F579" t="str">
        <f>HYPERLINK("https://vsd.vn/vi/ad/142014","Link")</f>
        <v>Link</v>
      </c>
    </row>
    <row r="580" spans="1:6" x14ac:dyDescent="0.25">
      <c r="A580" s="2">
        <v>44336.634837962964</v>
      </c>
      <c r="B580" t="s">
        <v>579</v>
      </c>
      <c r="C580" t="s">
        <v>1484</v>
      </c>
      <c r="D580" t="s">
        <v>2307</v>
      </c>
      <c r="E580" t="s">
        <v>2723</v>
      </c>
      <c r="F580" t="str">
        <f>HYPERLINK("https://vsd.vn/vi/ad/142009","Link")</f>
        <v>Link</v>
      </c>
    </row>
    <row r="581" spans="1:6" x14ac:dyDescent="0.25">
      <c r="A581" s="2">
        <v>44336.633634259262</v>
      </c>
      <c r="B581" t="s">
        <v>580</v>
      </c>
      <c r="C581" t="s">
        <v>1767</v>
      </c>
      <c r="D581" t="s">
        <v>2309</v>
      </c>
      <c r="E581" t="s">
        <v>2699</v>
      </c>
      <c r="F581" t="str">
        <f>HYPERLINK("https://vsd.vn/vi/ad/142006","Link")</f>
        <v>Link</v>
      </c>
    </row>
    <row r="582" spans="1:6" x14ac:dyDescent="0.25">
      <c r="A582" s="2">
        <v>44336.595104166663</v>
      </c>
      <c r="B582" t="s">
        <v>581</v>
      </c>
      <c r="C582" t="s">
        <v>1697</v>
      </c>
      <c r="D582" t="s">
        <v>2307</v>
      </c>
      <c r="E582" t="s">
        <v>2674</v>
      </c>
      <c r="F582" t="str">
        <f>HYPERLINK("https://vsd.vn/vi/ad/142004","Link")</f>
        <v>Link</v>
      </c>
    </row>
    <row r="583" spans="1:6" x14ac:dyDescent="0.25">
      <c r="A583" s="2">
        <v>44336.481469907398</v>
      </c>
      <c r="B583" t="s">
        <v>582</v>
      </c>
      <c r="F583" t="str">
        <f>HYPERLINK("https://vsd.vn/vi/ad/141993","Link")</f>
        <v>Link</v>
      </c>
    </row>
    <row r="584" spans="1:6" x14ac:dyDescent="0.25">
      <c r="A584" s="2">
        <v>44336.476782407408</v>
      </c>
      <c r="B584" t="s">
        <v>583</v>
      </c>
      <c r="C584" t="s">
        <v>1468</v>
      </c>
      <c r="D584" t="s">
        <v>2306</v>
      </c>
      <c r="E584" t="s">
        <v>2688</v>
      </c>
      <c r="F584" t="str">
        <f>HYPERLINK("https://vsd.vn/vi/ad/141991","Link")</f>
        <v>Link</v>
      </c>
    </row>
    <row r="585" spans="1:6" x14ac:dyDescent="0.25">
      <c r="A585" s="2">
        <v>44336.446620370371</v>
      </c>
      <c r="B585" t="s">
        <v>584</v>
      </c>
      <c r="C585" t="s">
        <v>1768</v>
      </c>
      <c r="D585" t="s">
        <v>2306</v>
      </c>
      <c r="E585" t="s">
        <v>2732</v>
      </c>
      <c r="F585" t="str">
        <f>HYPERLINK("https://vsd.vn/vi/ad/141942","Link")</f>
        <v>Link</v>
      </c>
    </row>
    <row r="586" spans="1:6" x14ac:dyDescent="0.25">
      <c r="A586" s="2">
        <v>44336.445925925917</v>
      </c>
      <c r="B586" t="s">
        <v>585</v>
      </c>
      <c r="C586" t="s">
        <v>1479</v>
      </c>
      <c r="D586" t="s">
        <v>2312</v>
      </c>
      <c r="E586" t="s">
        <v>2722</v>
      </c>
      <c r="F586" t="str">
        <f>HYPERLINK("https://vsd.vn/vi/ad/141948","Link")</f>
        <v>Link</v>
      </c>
    </row>
    <row r="587" spans="1:6" x14ac:dyDescent="0.25">
      <c r="A587" s="2">
        <v>44336.43644675926</v>
      </c>
      <c r="B587" t="s">
        <v>586</v>
      </c>
      <c r="C587" t="s">
        <v>1769</v>
      </c>
      <c r="D587" t="s">
        <v>2306</v>
      </c>
      <c r="E587" t="s">
        <v>2724</v>
      </c>
      <c r="F587" t="str">
        <f>HYPERLINK("https://vsd.vn/vi/ad/141980","Link")</f>
        <v>Link</v>
      </c>
    </row>
    <row r="588" spans="1:6" x14ac:dyDescent="0.25">
      <c r="A588" s="2">
        <v>44336.421400462961</v>
      </c>
      <c r="B588" t="s">
        <v>587</v>
      </c>
      <c r="C588" t="s">
        <v>1770</v>
      </c>
      <c r="D588" t="s">
        <v>2311</v>
      </c>
      <c r="E588" t="s">
        <v>2690</v>
      </c>
      <c r="F588" t="str">
        <f>HYPERLINK("https://vsd.vn/vi/ad/141971","Link")</f>
        <v>Link</v>
      </c>
    </row>
    <row r="589" spans="1:6" x14ac:dyDescent="0.25">
      <c r="A589" s="2">
        <v>44336.419340277767</v>
      </c>
      <c r="B589" t="s">
        <v>588</v>
      </c>
      <c r="C589" t="s">
        <v>1485</v>
      </c>
      <c r="D589" t="s">
        <v>2310</v>
      </c>
      <c r="E589" t="s">
        <v>2733</v>
      </c>
      <c r="F589" t="str">
        <f>HYPERLINK("https://vsd.vn/vi/ad/141973","Link")</f>
        <v>Link</v>
      </c>
    </row>
    <row r="590" spans="1:6" x14ac:dyDescent="0.25">
      <c r="A590" s="2">
        <v>44335.706944444442</v>
      </c>
      <c r="B590" t="s">
        <v>589</v>
      </c>
      <c r="C590" t="s">
        <v>1467</v>
      </c>
      <c r="D590" t="s">
        <v>2306</v>
      </c>
      <c r="E590" t="s">
        <v>2734</v>
      </c>
      <c r="F590" t="str">
        <f>HYPERLINK("https://vsd.vn/vi/ad/141945","Link")</f>
        <v>Link</v>
      </c>
    </row>
    <row r="591" spans="1:6" x14ac:dyDescent="0.25">
      <c r="A591" s="2">
        <v>44335.706006944441</v>
      </c>
      <c r="B591" t="s">
        <v>590</v>
      </c>
      <c r="C591" t="s">
        <v>1771</v>
      </c>
      <c r="D591" t="s">
        <v>2310</v>
      </c>
      <c r="E591" t="s">
        <v>2735</v>
      </c>
      <c r="F591" t="str">
        <f>HYPERLINK("https://vsd.vn/vi/ad/141944","Link")</f>
        <v>Link</v>
      </c>
    </row>
    <row r="592" spans="1:6" x14ac:dyDescent="0.25">
      <c r="A592" s="2">
        <v>44335.679502314822</v>
      </c>
      <c r="B592" t="s">
        <v>591</v>
      </c>
      <c r="C592" t="s">
        <v>1772</v>
      </c>
      <c r="D592" t="s">
        <v>2311</v>
      </c>
      <c r="E592" t="s">
        <v>2736</v>
      </c>
      <c r="F592" t="str">
        <f>HYPERLINK("https://vsd.vn/vi/ad/141941","Link")</f>
        <v>Link</v>
      </c>
    </row>
    <row r="593" spans="1:6" x14ac:dyDescent="0.25">
      <c r="A593" s="2">
        <v>44335.678796296299</v>
      </c>
      <c r="B593" t="s">
        <v>592</v>
      </c>
      <c r="D593" t="s">
        <v>2313</v>
      </c>
      <c r="E593" t="s">
        <v>2737</v>
      </c>
      <c r="F593" t="str">
        <f>HYPERLINK("https://vsd.vn/vi/ad/141943","Link")</f>
        <v>Link</v>
      </c>
    </row>
    <row r="594" spans="1:6" x14ac:dyDescent="0.25">
      <c r="A594" s="2">
        <v>44335.65865740741</v>
      </c>
      <c r="B594" t="s">
        <v>593</v>
      </c>
      <c r="C594" t="s">
        <v>1468</v>
      </c>
      <c r="D594" t="s">
        <v>2306</v>
      </c>
      <c r="E594" t="s">
        <v>2688</v>
      </c>
      <c r="F594" t="str">
        <f>HYPERLINK("https://vsd.vn/vi/ad/141938","Link")</f>
        <v>Link</v>
      </c>
    </row>
    <row r="595" spans="1:6" x14ac:dyDescent="0.25">
      <c r="A595" s="2">
        <v>44335.65761574074</v>
      </c>
      <c r="B595" t="s">
        <v>594</v>
      </c>
      <c r="C595" t="s">
        <v>1773</v>
      </c>
      <c r="D595" t="s">
        <v>2312</v>
      </c>
      <c r="E595" t="s">
        <v>2738</v>
      </c>
      <c r="F595" t="str">
        <f>HYPERLINK("https://vsd.vn/vi/ad/141939","Link")</f>
        <v>Link</v>
      </c>
    </row>
    <row r="596" spans="1:6" x14ac:dyDescent="0.25">
      <c r="A596" s="2">
        <v>44335.487199074072</v>
      </c>
      <c r="B596" t="s">
        <v>595</v>
      </c>
      <c r="C596" t="s">
        <v>1774</v>
      </c>
      <c r="D596" t="s">
        <v>2312</v>
      </c>
      <c r="E596" t="s">
        <v>2720</v>
      </c>
      <c r="F596" t="str">
        <f>HYPERLINK("https://vsd.vn/vi/ad/141931","Link")</f>
        <v>Link</v>
      </c>
    </row>
    <row r="597" spans="1:6" x14ac:dyDescent="0.25">
      <c r="A597" s="2">
        <v>44335.472384259258</v>
      </c>
      <c r="B597" t="s">
        <v>596</v>
      </c>
      <c r="C597" t="s">
        <v>1775</v>
      </c>
      <c r="D597" t="s">
        <v>2313</v>
      </c>
      <c r="E597" t="s">
        <v>2722</v>
      </c>
      <c r="F597" t="str">
        <f>HYPERLINK("https://vsd.vn/vi/ad/141928","Link")</f>
        <v>Link</v>
      </c>
    </row>
    <row r="598" spans="1:6" x14ac:dyDescent="0.25">
      <c r="A598" s="2">
        <v>44335.374247685177</v>
      </c>
      <c r="B598" t="s">
        <v>597</v>
      </c>
      <c r="C598" t="s">
        <v>1776</v>
      </c>
      <c r="E598" t="s">
        <v>2739</v>
      </c>
      <c r="F598" t="str">
        <f>HYPERLINK("https://vsd.vn/vi/ad/141926","Link")</f>
        <v>Link</v>
      </c>
    </row>
    <row r="599" spans="1:6" x14ac:dyDescent="0.25">
      <c r="A599" s="2">
        <v>44335.373159722221</v>
      </c>
      <c r="B599" t="s">
        <v>598</v>
      </c>
      <c r="C599" t="s">
        <v>1777</v>
      </c>
      <c r="D599" t="s">
        <v>2307</v>
      </c>
      <c r="E599" t="s">
        <v>2740</v>
      </c>
      <c r="F599" t="str">
        <f>HYPERLINK("https://vsd.vn/vi/ad/141927","Link")</f>
        <v>Link</v>
      </c>
    </row>
    <row r="600" spans="1:6" x14ac:dyDescent="0.25">
      <c r="A600" s="2">
        <v>44335.361458333333</v>
      </c>
      <c r="B600" t="s">
        <v>599</v>
      </c>
      <c r="C600" t="s">
        <v>1742</v>
      </c>
      <c r="D600" t="s">
        <v>2313</v>
      </c>
      <c r="E600" t="s">
        <v>2741</v>
      </c>
      <c r="F600" t="str">
        <f>HYPERLINK("https://vsd.vn/vi/ad/141922","Link")</f>
        <v>Link</v>
      </c>
    </row>
    <row r="601" spans="1:6" x14ac:dyDescent="0.25">
      <c r="A601" s="2">
        <v>44334.701944444438</v>
      </c>
      <c r="B601" t="s">
        <v>600</v>
      </c>
      <c r="C601" t="s">
        <v>1778</v>
      </c>
      <c r="D601" t="s">
        <v>2301</v>
      </c>
      <c r="E601" t="s">
        <v>2742</v>
      </c>
      <c r="F601" t="str">
        <f>HYPERLINK("https://vsd.vn/vi/ad/141920","Link")</f>
        <v>Link</v>
      </c>
    </row>
    <row r="602" spans="1:6" x14ac:dyDescent="0.25">
      <c r="A602" s="2">
        <v>44334.697094907409</v>
      </c>
      <c r="B602" t="s">
        <v>601</v>
      </c>
      <c r="C602" t="s">
        <v>1484</v>
      </c>
      <c r="D602" t="s">
        <v>2312</v>
      </c>
      <c r="E602" t="s">
        <v>2676</v>
      </c>
      <c r="F602" t="str">
        <f>HYPERLINK("https://vsd.vn/vi/ad/141914","Link")</f>
        <v>Link</v>
      </c>
    </row>
    <row r="603" spans="1:6" x14ac:dyDescent="0.25">
      <c r="A603" s="2">
        <v>44334.696655092594</v>
      </c>
      <c r="B603" t="s">
        <v>602</v>
      </c>
      <c r="C603" t="s">
        <v>1479</v>
      </c>
      <c r="D603" t="s">
        <v>2300</v>
      </c>
      <c r="E603" t="s">
        <v>2708</v>
      </c>
      <c r="F603" t="str">
        <f>HYPERLINK("https://vsd.vn/vi/ad/141916","Link")</f>
        <v>Link</v>
      </c>
    </row>
    <row r="604" spans="1:6" x14ac:dyDescent="0.25">
      <c r="A604" s="2">
        <v>44334.677060185182</v>
      </c>
      <c r="B604" t="s">
        <v>603</v>
      </c>
      <c r="C604" t="s">
        <v>1484</v>
      </c>
      <c r="D604" t="s">
        <v>2314</v>
      </c>
      <c r="F604" t="str">
        <f>HYPERLINK("https://vsd.vn/vi/ad/141896","Link")</f>
        <v>Link</v>
      </c>
    </row>
    <row r="605" spans="1:6" x14ac:dyDescent="0.25">
      <c r="A605" s="2">
        <v>44334.579675925917</v>
      </c>
      <c r="B605" t="s">
        <v>604</v>
      </c>
      <c r="C605" t="s">
        <v>1779</v>
      </c>
      <c r="D605" t="s">
        <v>2313</v>
      </c>
      <c r="E605" t="s">
        <v>2743</v>
      </c>
      <c r="F605" t="str">
        <f>HYPERLINK("https://vsd.vn/vi/ad/141906","Link")</f>
        <v>Link</v>
      </c>
    </row>
    <row r="606" spans="1:6" x14ac:dyDescent="0.25">
      <c r="A606" s="2">
        <v>44334.577974537038</v>
      </c>
      <c r="B606" t="s">
        <v>605</v>
      </c>
      <c r="C606" t="s">
        <v>1780</v>
      </c>
      <c r="D606" t="s">
        <v>2310</v>
      </c>
      <c r="E606" t="s">
        <v>2712</v>
      </c>
      <c r="F606" t="str">
        <f>HYPERLINK("https://vsd.vn/vi/ad/141903","Link")</f>
        <v>Link</v>
      </c>
    </row>
    <row r="607" spans="1:6" x14ac:dyDescent="0.25">
      <c r="A607" s="2">
        <v>44334.425983796304</v>
      </c>
      <c r="B607" t="s">
        <v>606</v>
      </c>
      <c r="D607" t="s">
        <v>2307</v>
      </c>
      <c r="E607" t="s">
        <v>2689</v>
      </c>
      <c r="F607" t="str">
        <f>HYPERLINK("https://vsd.vn/vi/ad/141893","Link")</f>
        <v>Link</v>
      </c>
    </row>
    <row r="608" spans="1:6" x14ac:dyDescent="0.25">
      <c r="A608" s="2">
        <v>44334.406469907408</v>
      </c>
      <c r="B608" t="s">
        <v>607</v>
      </c>
      <c r="C608" t="s">
        <v>1781</v>
      </c>
      <c r="D608" t="s">
        <v>2310</v>
      </c>
      <c r="E608" t="s">
        <v>2744</v>
      </c>
      <c r="F608" t="str">
        <f>HYPERLINK("https://vsd.vn/vi/ad/141897","Link")</f>
        <v>Link</v>
      </c>
    </row>
    <row r="609" spans="1:6" x14ac:dyDescent="0.25">
      <c r="A609" s="2">
        <v>44334.36109953704</v>
      </c>
      <c r="B609" t="s">
        <v>608</v>
      </c>
      <c r="C609" t="s">
        <v>1477</v>
      </c>
      <c r="D609" t="s">
        <v>2315</v>
      </c>
      <c r="E609" t="s">
        <v>2723</v>
      </c>
      <c r="F609" t="str">
        <f>HYPERLINK("https://vsd.vn/vi/ad/141892","Link")</f>
        <v>Link</v>
      </c>
    </row>
    <row r="610" spans="1:6" x14ac:dyDescent="0.25">
      <c r="A610" s="2">
        <v>44334.360682870371</v>
      </c>
      <c r="B610" t="s">
        <v>609</v>
      </c>
      <c r="C610" t="s">
        <v>1494</v>
      </c>
      <c r="D610" t="s">
        <v>2313</v>
      </c>
      <c r="E610" t="s">
        <v>2723</v>
      </c>
      <c r="F610" t="str">
        <f>HYPERLINK("https://vsd.vn/vi/ad/141891","Link")</f>
        <v>Link</v>
      </c>
    </row>
    <row r="611" spans="1:6" x14ac:dyDescent="0.25">
      <c r="A611" s="2">
        <v>44333.693969907406</v>
      </c>
      <c r="B611" t="s">
        <v>610</v>
      </c>
      <c r="C611" t="s">
        <v>1782</v>
      </c>
      <c r="D611" t="s">
        <v>2315</v>
      </c>
      <c r="E611" t="s">
        <v>2745</v>
      </c>
      <c r="F611" t="str">
        <f>HYPERLINK("https://vsd.vn/vi/ad/141880","Link")</f>
        <v>Link</v>
      </c>
    </row>
    <row r="612" spans="1:6" x14ac:dyDescent="0.25">
      <c r="A612" s="2">
        <v>44333.692152777781</v>
      </c>
      <c r="B612" t="s">
        <v>611</v>
      </c>
      <c r="C612" t="s">
        <v>1783</v>
      </c>
      <c r="D612" t="s">
        <v>2310</v>
      </c>
      <c r="E612" t="s">
        <v>2746</v>
      </c>
      <c r="F612" t="str">
        <f>HYPERLINK("https://vsd.vn/vi/ad/141883","Link")</f>
        <v>Link</v>
      </c>
    </row>
    <row r="613" spans="1:6" x14ac:dyDescent="0.25">
      <c r="A613" s="2">
        <v>44333.624050925922</v>
      </c>
      <c r="B613" t="s">
        <v>612</v>
      </c>
      <c r="C613" t="s">
        <v>1784</v>
      </c>
      <c r="D613" t="s">
        <v>2313</v>
      </c>
      <c r="F613" t="str">
        <f>HYPERLINK("https://vsd.vn/vi/ad/141875","Link")</f>
        <v>Link</v>
      </c>
    </row>
    <row r="614" spans="1:6" x14ac:dyDescent="0.25">
      <c r="A614" s="2">
        <v>44330.759837962964</v>
      </c>
      <c r="B614" t="s">
        <v>613</v>
      </c>
      <c r="C614" t="s">
        <v>1785</v>
      </c>
      <c r="D614" t="s">
        <v>2316</v>
      </c>
      <c r="E614" t="s">
        <v>2723</v>
      </c>
      <c r="F614" t="str">
        <f>HYPERLINK("https://vsd.vn/vi/ad/141855","Link")</f>
        <v>Link</v>
      </c>
    </row>
    <row r="615" spans="1:6" x14ac:dyDescent="0.25">
      <c r="A615" s="2">
        <v>44330.74318287037</v>
      </c>
      <c r="B615" t="s">
        <v>614</v>
      </c>
      <c r="C615" t="s">
        <v>1786</v>
      </c>
      <c r="D615" t="s">
        <v>2316</v>
      </c>
      <c r="E615" t="s">
        <v>2747</v>
      </c>
      <c r="F615" t="str">
        <f>HYPERLINK("https://vsd.vn/vi/ad/141852","Link")</f>
        <v>Link</v>
      </c>
    </row>
    <row r="616" spans="1:6" x14ac:dyDescent="0.25">
      <c r="A616" s="2">
        <v>44330.722326388888</v>
      </c>
      <c r="B616" t="s">
        <v>615</v>
      </c>
      <c r="C616" t="s">
        <v>1787</v>
      </c>
      <c r="D616" t="s">
        <v>2316</v>
      </c>
      <c r="E616" t="s">
        <v>2748</v>
      </c>
      <c r="F616" t="str">
        <f>HYPERLINK("https://vsd.vn/vi/ad/141833","Link")</f>
        <v>Link</v>
      </c>
    </row>
    <row r="617" spans="1:6" x14ac:dyDescent="0.25">
      <c r="A617" s="2">
        <v>44330.721828703703</v>
      </c>
      <c r="B617" t="s">
        <v>616</v>
      </c>
      <c r="C617" t="s">
        <v>1788</v>
      </c>
      <c r="D617" t="s">
        <v>2316</v>
      </c>
      <c r="E617" t="s">
        <v>2749</v>
      </c>
      <c r="F617" t="str">
        <f>HYPERLINK("https://vsd.vn/vi/ad/141836","Link")</f>
        <v>Link</v>
      </c>
    </row>
    <row r="618" spans="1:6" x14ac:dyDescent="0.25">
      <c r="A618" s="2">
        <v>44330.721122685187</v>
      </c>
      <c r="B618" t="s">
        <v>617</v>
      </c>
      <c r="C618" t="s">
        <v>1479</v>
      </c>
      <c r="D618" t="s">
        <v>2313</v>
      </c>
      <c r="E618" t="s">
        <v>2731</v>
      </c>
      <c r="F618" t="str">
        <f>HYPERLINK("https://vsd.vn/vi/ad/141843","Link")</f>
        <v>Link</v>
      </c>
    </row>
    <row r="619" spans="1:6" x14ac:dyDescent="0.25">
      <c r="A619" s="2">
        <v>44330.720625000002</v>
      </c>
      <c r="B619" t="s">
        <v>618</v>
      </c>
      <c r="C619" t="s">
        <v>1467</v>
      </c>
      <c r="D619" t="s">
        <v>2315</v>
      </c>
      <c r="E619" t="s">
        <v>2750</v>
      </c>
      <c r="F619" t="str">
        <f>HYPERLINK("https://vsd.vn/vi/ad/141845","Link")</f>
        <v>Link</v>
      </c>
    </row>
    <row r="620" spans="1:6" x14ac:dyDescent="0.25">
      <c r="A620" s="2">
        <v>44330.717835648153</v>
      </c>
      <c r="B620" t="s">
        <v>619</v>
      </c>
      <c r="C620" t="s">
        <v>1472</v>
      </c>
      <c r="D620" t="s">
        <v>2312</v>
      </c>
      <c r="E620" t="s">
        <v>2685</v>
      </c>
      <c r="F620" t="str">
        <f>HYPERLINK("https://vsd.vn/vi/ad/141842","Link")</f>
        <v>Link</v>
      </c>
    </row>
    <row r="621" spans="1:6" x14ac:dyDescent="0.25">
      <c r="A621" s="2">
        <v>44330.717094907413</v>
      </c>
      <c r="B621" t="s">
        <v>620</v>
      </c>
      <c r="C621" t="s">
        <v>1479</v>
      </c>
      <c r="D621" t="s">
        <v>2304</v>
      </c>
      <c r="E621" t="s">
        <v>2683</v>
      </c>
      <c r="F621" t="str">
        <f>HYPERLINK("https://vsd.vn/vi/ad/141840","Link")</f>
        <v>Link</v>
      </c>
    </row>
    <row r="622" spans="1:6" x14ac:dyDescent="0.25">
      <c r="A622" s="2">
        <v>44330.716504629629</v>
      </c>
      <c r="B622" t="s">
        <v>621</v>
      </c>
      <c r="C622" t="s">
        <v>1494</v>
      </c>
      <c r="D622" t="s">
        <v>2309</v>
      </c>
      <c r="E622" t="s">
        <v>2654</v>
      </c>
      <c r="F622" t="str">
        <f>HYPERLINK("https://vsd.vn/vi/ad/141838","Link")</f>
        <v>Link</v>
      </c>
    </row>
    <row r="623" spans="1:6" x14ac:dyDescent="0.25">
      <c r="A623" s="2">
        <v>44330.715115740742</v>
      </c>
      <c r="B623" t="s">
        <v>622</v>
      </c>
      <c r="C623" t="s">
        <v>1494</v>
      </c>
      <c r="D623" t="s">
        <v>2317</v>
      </c>
      <c r="E623" t="s">
        <v>2750</v>
      </c>
      <c r="F623" t="str">
        <f>HYPERLINK("https://vsd.vn/vi/ad/141851","Link")</f>
        <v>Link</v>
      </c>
    </row>
    <row r="624" spans="1:6" x14ac:dyDescent="0.25">
      <c r="A624" s="2">
        <v>44330.712071759262</v>
      </c>
      <c r="B624" t="s">
        <v>623</v>
      </c>
      <c r="C624" t="s">
        <v>1789</v>
      </c>
      <c r="D624" t="s">
        <v>2315</v>
      </c>
      <c r="E624" t="s">
        <v>2729</v>
      </c>
      <c r="F624" t="str">
        <f>HYPERLINK("https://vsd.vn/vi/ad/141826","Link")</f>
        <v>Link</v>
      </c>
    </row>
    <row r="625" spans="1:6" x14ac:dyDescent="0.25">
      <c r="A625" s="2">
        <v>44330.706516203703</v>
      </c>
      <c r="B625" t="s">
        <v>624</v>
      </c>
      <c r="C625" t="s">
        <v>1790</v>
      </c>
      <c r="D625" t="s">
        <v>2313</v>
      </c>
      <c r="E625" t="s">
        <v>2729</v>
      </c>
      <c r="F625" t="str">
        <f>HYPERLINK("https://vsd.vn/vi/ad/141841","Link")</f>
        <v>Link</v>
      </c>
    </row>
    <row r="626" spans="1:6" x14ac:dyDescent="0.25">
      <c r="A626" s="2">
        <v>44330.704745370371</v>
      </c>
      <c r="B626" t="s">
        <v>625</v>
      </c>
      <c r="C626" t="s">
        <v>1791</v>
      </c>
      <c r="D626" t="s">
        <v>2316</v>
      </c>
      <c r="E626" t="s">
        <v>2751</v>
      </c>
      <c r="F626" t="str">
        <f>HYPERLINK("https://vsd.vn/vi/ad/141837","Link")</f>
        <v>Link</v>
      </c>
    </row>
    <row r="627" spans="1:6" x14ac:dyDescent="0.25">
      <c r="A627" s="2">
        <v>44330.636076388888</v>
      </c>
      <c r="B627" t="s">
        <v>626</v>
      </c>
      <c r="C627" t="s">
        <v>1745</v>
      </c>
      <c r="D627" t="s">
        <v>2315</v>
      </c>
      <c r="E627" t="s">
        <v>2730</v>
      </c>
      <c r="F627" t="str">
        <f>HYPERLINK("https://vsd.vn/vi/ad/141789","Link")</f>
        <v>Link</v>
      </c>
    </row>
    <row r="628" spans="1:6" x14ac:dyDescent="0.25">
      <c r="A628" s="2">
        <v>44330.635648148149</v>
      </c>
      <c r="B628" t="s">
        <v>627</v>
      </c>
      <c r="C628" t="s">
        <v>1467</v>
      </c>
      <c r="D628" t="s">
        <v>2315</v>
      </c>
      <c r="E628" t="s">
        <v>2752</v>
      </c>
      <c r="F628" t="str">
        <f>HYPERLINK("https://vsd.vn/vi/ad/141788","Link")</f>
        <v>Link</v>
      </c>
    </row>
    <row r="629" spans="1:6" x14ac:dyDescent="0.25">
      <c r="A629" s="2">
        <v>44330.599537037036</v>
      </c>
      <c r="B629" t="s">
        <v>628</v>
      </c>
      <c r="C629" t="s">
        <v>1792</v>
      </c>
      <c r="D629" t="s">
        <v>2316</v>
      </c>
      <c r="E629" t="s">
        <v>2685</v>
      </c>
      <c r="F629" t="str">
        <f>HYPERLINK("https://vsd.vn/vi/ad/141819","Link")</f>
        <v>Link</v>
      </c>
    </row>
    <row r="630" spans="1:6" x14ac:dyDescent="0.25">
      <c r="A630" s="2">
        <v>44330.590092592603</v>
      </c>
      <c r="B630" t="s">
        <v>629</v>
      </c>
      <c r="C630" t="s">
        <v>1793</v>
      </c>
      <c r="D630" t="s">
        <v>2315</v>
      </c>
      <c r="E630" t="s">
        <v>2753</v>
      </c>
      <c r="F630" t="str">
        <f>HYPERLINK("https://vsd.vn/vi/ad/141814","Link")</f>
        <v>Link</v>
      </c>
    </row>
    <row r="631" spans="1:6" x14ac:dyDescent="0.25">
      <c r="A631" s="2">
        <v>44330.463831018518</v>
      </c>
      <c r="B631" t="s">
        <v>630</v>
      </c>
      <c r="C631" t="s">
        <v>1467</v>
      </c>
      <c r="D631" t="s">
        <v>2314</v>
      </c>
      <c r="E631" t="s">
        <v>2754</v>
      </c>
      <c r="F631" t="str">
        <f>HYPERLINK("https://vsd.vn/vi/ad/141785","Link")</f>
        <v>Link</v>
      </c>
    </row>
    <row r="632" spans="1:6" x14ac:dyDescent="0.25">
      <c r="A632" s="2">
        <v>44330.460625</v>
      </c>
      <c r="B632" t="s">
        <v>631</v>
      </c>
      <c r="C632" t="s">
        <v>1794</v>
      </c>
      <c r="D632" t="s">
        <v>2317</v>
      </c>
      <c r="F632" t="str">
        <f>HYPERLINK("https://vsd.vn/vi/ad/141787","Link")</f>
        <v>Link</v>
      </c>
    </row>
    <row r="633" spans="1:6" x14ac:dyDescent="0.25">
      <c r="A633" s="2">
        <v>44330.436099537037</v>
      </c>
      <c r="B633" t="s">
        <v>632</v>
      </c>
      <c r="C633" t="s">
        <v>1795</v>
      </c>
      <c r="D633" t="s">
        <v>2311</v>
      </c>
      <c r="E633" t="s">
        <v>2715</v>
      </c>
      <c r="F633" t="str">
        <f>HYPERLINK("https://vsd.vn/vi/ad/141802","Link")</f>
        <v>Link</v>
      </c>
    </row>
    <row r="634" spans="1:6" x14ac:dyDescent="0.25">
      <c r="A634" s="2">
        <v>44330.40996527778</v>
      </c>
      <c r="B634" t="s">
        <v>633</v>
      </c>
      <c r="F634" t="str">
        <f>HYPERLINK("https://vsd.vn/vi/ad/141799","Link")</f>
        <v>Link</v>
      </c>
    </row>
    <row r="635" spans="1:6" x14ac:dyDescent="0.25">
      <c r="A635" s="2">
        <v>44329.713078703702</v>
      </c>
      <c r="B635" t="s">
        <v>634</v>
      </c>
      <c r="C635" t="s">
        <v>1796</v>
      </c>
      <c r="D635" t="s">
        <v>2313</v>
      </c>
      <c r="F635" t="str">
        <f>HYPERLINK("https://vsd.vn/vi/ad/141779","Link")</f>
        <v>Link</v>
      </c>
    </row>
    <row r="636" spans="1:6" x14ac:dyDescent="0.25">
      <c r="A636" s="2">
        <v>44329.711597222216</v>
      </c>
      <c r="B636" t="s">
        <v>635</v>
      </c>
      <c r="C636" t="s">
        <v>1467</v>
      </c>
      <c r="D636" t="s">
        <v>2312</v>
      </c>
      <c r="E636" t="s">
        <v>2755</v>
      </c>
      <c r="F636" t="str">
        <f>HYPERLINK("https://vsd.vn/vi/ad/141783","Link")</f>
        <v>Link</v>
      </c>
    </row>
    <row r="637" spans="1:6" x14ac:dyDescent="0.25">
      <c r="A637" s="2">
        <v>44329.697256944448</v>
      </c>
      <c r="B637" t="s">
        <v>636</v>
      </c>
      <c r="C637" t="s">
        <v>1467</v>
      </c>
      <c r="D637" t="s">
        <v>2316</v>
      </c>
      <c r="E637" t="s">
        <v>2756</v>
      </c>
      <c r="F637" t="str">
        <f>HYPERLINK("https://vsd.vn/vi/ad/141711","Link")</f>
        <v>Link</v>
      </c>
    </row>
    <row r="638" spans="1:6" x14ac:dyDescent="0.25">
      <c r="A638" s="2">
        <v>44329.695462962962</v>
      </c>
      <c r="B638" t="s">
        <v>637</v>
      </c>
      <c r="C638" t="s">
        <v>1477</v>
      </c>
      <c r="D638" t="s">
        <v>2315</v>
      </c>
      <c r="E638" t="s">
        <v>2757</v>
      </c>
      <c r="F638" t="str">
        <f>HYPERLINK("https://vsd.vn/vi/ad/141751","Link")</f>
        <v>Link</v>
      </c>
    </row>
    <row r="639" spans="1:6" x14ac:dyDescent="0.25">
      <c r="A639" s="2">
        <v>44329.692708333343</v>
      </c>
      <c r="B639" t="s">
        <v>638</v>
      </c>
      <c r="C639" t="s">
        <v>1488</v>
      </c>
      <c r="D639" t="s">
        <v>2312</v>
      </c>
      <c r="E639" t="s">
        <v>2731</v>
      </c>
      <c r="F639" t="str">
        <f>HYPERLINK("https://vsd.vn/vi/ad/141750","Link")</f>
        <v>Link</v>
      </c>
    </row>
    <row r="640" spans="1:6" x14ac:dyDescent="0.25">
      <c r="A640" s="2">
        <v>44329.643761574072</v>
      </c>
      <c r="B640" t="s">
        <v>639</v>
      </c>
      <c r="C640" t="s">
        <v>1467</v>
      </c>
      <c r="D640" t="s">
        <v>2312</v>
      </c>
      <c r="E640" t="s">
        <v>2730</v>
      </c>
      <c r="F640" t="str">
        <f>HYPERLINK("https://vsd.vn/vi/ad/141756","Link")</f>
        <v>Link</v>
      </c>
    </row>
    <row r="641" spans="1:6" x14ac:dyDescent="0.25">
      <c r="A641" s="2">
        <v>44329.634664351863</v>
      </c>
      <c r="B641" t="s">
        <v>640</v>
      </c>
      <c r="C641" t="s">
        <v>1797</v>
      </c>
      <c r="D641" t="s">
        <v>2316</v>
      </c>
      <c r="E641" t="s">
        <v>2758</v>
      </c>
      <c r="F641" t="str">
        <f>HYPERLINK("https://vsd.vn/vi/ad/141745","Link")</f>
        <v>Link</v>
      </c>
    </row>
    <row r="642" spans="1:6" x14ac:dyDescent="0.25">
      <c r="A642" s="2">
        <v>44329.570567129631</v>
      </c>
      <c r="B642" t="s">
        <v>641</v>
      </c>
      <c r="C642" t="s">
        <v>1647</v>
      </c>
      <c r="D642" t="s">
        <v>2315</v>
      </c>
      <c r="E642" t="s">
        <v>2759</v>
      </c>
      <c r="F642" t="str">
        <f>HYPERLINK("https://vsd.vn/vi/ad/141747","Link")</f>
        <v>Link</v>
      </c>
    </row>
    <row r="643" spans="1:6" x14ac:dyDescent="0.25">
      <c r="A643" s="2">
        <v>44329.469687500001</v>
      </c>
      <c r="B643" t="s">
        <v>642</v>
      </c>
      <c r="C643" t="s">
        <v>1798</v>
      </c>
      <c r="D643" t="s">
        <v>2312</v>
      </c>
      <c r="E643" t="s">
        <v>2760</v>
      </c>
      <c r="F643" t="str">
        <f>HYPERLINK("https://vsd.vn/vi/ad/141744","Link")</f>
        <v>Link</v>
      </c>
    </row>
    <row r="644" spans="1:6" x14ac:dyDescent="0.25">
      <c r="A644" s="2">
        <v>44329.462002314824</v>
      </c>
      <c r="B644" t="s">
        <v>643</v>
      </c>
      <c r="C644" t="s">
        <v>1799</v>
      </c>
      <c r="D644" t="s">
        <v>2318</v>
      </c>
      <c r="E644" t="s">
        <v>2761</v>
      </c>
      <c r="F644" t="str">
        <f>HYPERLINK("https://vsd.vn/vi/ad/141742","Link")</f>
        <v>Link</v>
      </c>
    </row>
    <row r="645" spans="1:6" x14ac:dyDescent="0.25">
      <c r="A645" s="2">
        <v>44329.36204861111</v>
      </c>
      <c r="B645" t="s">
        <v>644</v>
      </c>
      <c r="C645" t="s">
        <v>1494</v>
      </c>
      <c r="D645" t="s">
        <v>2313</v>
      </c>
      <c r="E645" t="s">
        <v>2729</v>
      </c>
      <c r="F645" t="str">
        <f>HYPERLINK("https://vsd.vn/vi/ad/141716","Link")</f>
        <v>Link</v>
      </c>
    </row>
    <row r="646" spans="1:6" x14ac:dyDescent="0.25">
      <c r="A646" s="2">
        <v>44328.699097222219</v>
      </c>
      <c r="B646" t="s">
        <v>645</v>
      </c>
      <c r="C646" t="s">
        <v>1800</v>
      </c>
      <c r="D646" t="s">
        <v>2317</v>
      </c>
      <c r="E646" t="s">
        <v>2693</v>
      </c>
      <c r="F646" t="str">
        <f>HYPERLINK("https://vsd.vn/vi/ad/141718","Link")</f>
        <v>Link</v>
      </c>
    </row>
    <row r="647" spans="1:6" x14ac:dyDescent="0.25">
      <c r="A647" s="2">
        <v>44328.698553240742</v>
      </c>
      <c r="B647" t="s">
        <v>646</v>
      </c>
      <c r="C647" t="s">
        <v>1484</v>
      </c>
      <c r="D647" t="s">
        <v>2317</v>
      </c>
      <c r="E647" t="s">
        <v>2683</v>
      </c>
      <c r="F647" t="str">
        <f>HYPERLINK("https://vsd.vn/vi/ad/141719","Link")</f>
        <v>Link</v>
      </c>
    </row>
    <row r="648" spans="1:6" x14ac:dyDescent="0.25">
      <c r="A648" s="2">
        <v>44328.698009259257</v>
      </c>
      <c r="B648" t="s">
        <v>647</v>
      </c>
      <c r="D648" t="s">
        <v>2312</v>
      </c>
      <c r="E648" t="s">
        <v>2762</v>
      </c>
      <c r="F648" t="str">
        <f>HYPERLINK("https://vsd.vn/vi/ad/141717","Link")</f>
        <v>Link</v>
      </c>
    </row>
    <row r="649" spans="1:6" x14ac:dyDescent="0.25">
      <c r="A649" s="2">
        <v>44328.697268518517</v>
      </c>
      <c r="B649" t="s">
        <v>648</v>
      </c>
      <c r="C649" t="s">
        <v>1801</v>
      </c>
      <c r="D649" t="s">
        <v>2312</v>
      </c>
      <c r="E649" t="s">
        <v>2763</v>
      </c>
      <c r="F649" t="str">
        <f>HYPERLINK("https://vsd.vn/vi/ad/141712","Link")</f>
        <v>Link</v>
      </c>
    </row>
    <row r="650" spans="1:6" x14ac:dyDescent="0.25">
      <c r="A650" s="2">
        <v>44328.69667824074</v>
      </c>
      <c r="B650" t="s">
        <v>649</v>
      </c>
      <c r="C650" t="s">
        <v>1802</v>
      </c>
      <c r="D650" t="s">
        <v>2316</v>
      </c>
      <c r="E650" t="s">
        <v>2764</v>
      </c>
      <c r="F650" t="str">
        <f>HYPERLINK("https://vsd.vn/vi/ad/141713","Link")</f>
        <v>Link</v>
      </c>
    </row>
    <row r="651" spans="1:6" x14ac:dyDescent="0.25">
      <c r="A651" s="2">
        <v>44328.677997685183</v>
      </c>
      <c r="B651" t="s">
        <v>650</v>
      </c>
      <c r="C651" t="s">
        <v>1803</v>
      </c>
      <c r="D651" t="s">
        <v>2318</v>
      </c>
      <c r="E651" t="s">
        <v>2765</v>
      </c>
      <c r="F651" t="str">
        <f>HYPERLINK("https://vsd.vn/vi/ad/141707","Link")</f>
        <v>Link</v>
      </c>
    </row>
    <row r="652" spans="1:6" x14ac:dyDescent="0.25">
      <c r="A652" s="2">
        <v>44328.611377314817</v>
      </c>
      <c r="B652" t="s">
        <v>651</v>
      </c>
      <c r="C652" t="s">
        <v>1804</v>
      </c>
      <c r="D652" t="s">
        <v>2312</v>
      </c>
      <c r="E652" t="s">
        <v>2766</v>
      </c>
      <c r="F652" t="str">
        <f>HYPERLINK("https://vsd.vn/vi/ad/141700","Link")</f>
        <v>Link</v>
      </c>
    </row>
    <row r="653" spans="1:6" x14ac:dyDescent="0.25">
      <c r="A653" s="2">
        <v>44328.468981481477</v>
      </c>
      <c r="B653" t="s">
        <v>652</v>
      </c>
      <c r="C653" t="s">
        <v>1467</v>
      </c>
      <c r="D653" t="s">
        <v>2312</v>
      </c>
      <c r="E653" t="s">
        <v>2762</v>
      </c>
      <c r="F653" t="str">
        <f>HYPERLINK("https://vsd.vn/vi/ad/141699","Link")</f>
        <v>Link</v>
      </c>
    </row>
    <row r="654" spans="1:6" x14ac:dyDescent="0.25">
      <c r="A654" s="2">
        <v>44328.451689814807</v>
      </c>
      <c r="B654" t="s">
        <v>653</v>
      </c>
      <c r="C654" t="s">
        <v>1805</v>
      </c>
      <c r="D654" t="s">
        <v>2318</v>
      </c>
      <c r="E654" t="s">
        <v>2756</v>
      </c>
      <c r="F654" t="str">
        <f>HYPERLINK("https://vsd.vn/vi/ad/141697","Link")</f>
        <v>Link</v>
      </c>
    </row>
    <row r="655" spans="1:6" x14ac:dyDescent="0.25">
      <c r="A655" s="2">
        <v>44328.444039351853</v>
      </c>
      <c r="B655" t="s">
        <v>654</v>
      </c>
      <c r="C655" t="s">
        <v>1806</v>
      </c>
      <c r="D655" t="s">
        <v>2317</v>
      </c>
      <c r="E655" t="s">
        <v>2767</v>
      </c>
      <c r="F655" t="str">
        <f>HYPERLINK("https://vsd.vn/vi/ad/141696","Link")</f>
        <v>Link</v>
      </c>
    </row>
    <row r="656" spans="1:6" x14ac:dyDescent="0.25">
      <c r="A656" s="2">
        <v>44328.443298611113</v>
      </c>
      <c r="B656" t="s">
        <v>655</v>
      </c>
      <c r="C656" t="s">
        <v>1807</v>
      </c>
      <c r="D656" t="s">
        <v>2318</v>
      </c>
      <c r="E656" t="s">
        <v>2749</v>
      </c>
      <c r="F656" t="str">
        <f>HYPERLINK("https://vsd.vn/vi/ad/141694","Link")</f>
        <v>Link</v>
      </c>
    </row>
    <row r="657" spans="1:6" x14ac:dyDescent="0.25">
      <c r="A657" s="2">
        <v>44328.419618055559</v>
      </c>
      <c r="B657" t="s">
        <v>656</v>
      </c>
      <c r="C657" t="s">
        <v>1545</v>
      </c>
      <c r="D657" t="s">
        <v>2316</v>
      </c>
      <c r="E657" t="s">
        <v>2749</v>
      </c>
      <c r="F657" t="str">
        <f>HYPERLINK("https://vsd.vn/vi/ad/141671","Link")</f>
        <v>Link</v>
      </c>
    </row>
    <row r="658" spans="1:6" x14ac:dyDescent="0.25">
      <c r="A658" s="2">
        <v>44328.419259259259</v>
      </c>
      <c r="B658" t="s">
        <v>657</v>
      </c>
      <c r="C658" t="s">
        <v>1808</v>
      </c>
      <c r="D658" t="s">
        <v>2318</v>
      </c>
      <c r="F658" t="str">
        <f>HYPERLINK("https://vsd.vn/vi/ad/141647","Link")</f>
        <v>Link</v>
      </c>
    </row>
    <row r="659" spans="1:6" x14ac:dyDescent="0.25">
      <c r="A659" s="2">
        <v>44328.388148148151</v>
      </c>
      <c r="B659" t="s">
        <v>658</v>
      </c>
      <c r="C659" t="s">
        <v>1484</v>
      </c>
      <c r="D659" t="s">
        <v>2319</v>
      </c>
      <c r="E659" t="s">
        <v>2768</v>
      </c>
      <c r="F659" t="str">
        <f>HYPERLINK("https://vsd.vn/vi/ad/141673","Link")</f>
        <v>Link</v>
      </c>
    </row>
    <row r="660" spans="1:6" x14ac:dyDescent="0.25">
      <c r="A660" s="2">
        <v>44328.385601851849</v>
      </c>
      <c r="B660" t="s">
        <v>659</v>
      </c>
      <c r="C660" t="s">
        <v>1809</v>
      </c>
      <c r="E660" t="s">
        <v>2769</v>
      </c>
      <c r="F660" t="str">
        <f>HYPERLINK("https://vsd.vn/vi/ad/141686","Link")</f>
        <v>Link</v>
      </c>
    </row>
    <row r="661" spans="1:6" x14ac:dyDescent="0.25">
      <c r="A661" s="2">
        <v>44328.385266203702</v>
      </c>
      <c r="B661" t="s">
        <v>660</v>
      </c>
      <c r="C661" t="s">
        <v>1638</v>
      </c>
      <c r="D661" t="s">
        <v>2317</v>
      </c>
      <c r="E661" t="s">
        <v>2770</v>
      </c>
      <c r="F661" t="str">
        <f>HYPERLINK("https://vsd.vn/vi/ad/141687","Link")</f>
        <v>Link</v>
      </c>
    </row>
    <row r="662" spans="1:6" x14ac:dyDescent="0.25">
      <c r="A662" s="2">
        <v>44328.371828703697</v>
      </c>
      <c r="B662" t="s">
        <v>661</v>
      </c>
      <c r="C662" t="s">
        <v>1810</v>
      </c>
      <c r="D662" t="s">
        <v>2312</v>
      </c>
      <c r="E662" t="s">
        <v>2771</v>
      </c>
      <c r="F662" t="str">
        <f>HYPERLINK("https://vsd.vn/vi/ad/141680","Link")</f>
        <v>Link</v>
      </c>
    </row>
    <row r="663" spans="1:6" x14ac:dyDescent="0.25">
      <c r="A663" s="2">
        <v>44327.711898148147</v>
      </c>
      <c r="B663" t="s">
        <v>662</v>
      </c>
      <c r="C663" t="s">
        <v>1811</v>
      </c>
      <c r="D663" t="s">
        <v>2319</v>
      </c>
      <c r="E663" t="s">
        <v>2772</v>
      </c>
      <c r="F663" t="str">
        <f>HYPERLINK("https://vsd.vn/vi/ad/141660","Link")</f>
        <v>Link</v>
      </c>
    </row>
    <row r="664" spans="1:6" x14ac:dyDescent="0.25">
      <c r="A664" s="2">
        <v>44327.711192129631</v>
      </c>
      <c r="B664" t="s">
        <v>663</v>
      </c>
      <c r="C664" t="s">
        <v>1503</v>
      </c>
      <c r="D664" t="s">
        <v>2318</v>
      </c>
      <c r="E664" t="s">
        <v>2773</v>
      </c>
      <c r="F664" t="str">
        <f>HYPERLINK("https://vsd.vn/vi/ad/141665","Link")</f>
        <v>Link</v>
      </c>
    </row>
    <row r="665" spans="1:6" x14ac:dyDescent="0.25">
      <c r="A665" s="2">
        <v>44327.710856481477</v>
      </c>
      <c r="B665" t="s">
        <v>664</v>
      </c>
      <c r="C665" t="s">
        <v>1812</v>
      </c>
      <c r="D665" t="s">
        <v>2305</v>
      </c>
      <c r="E665" t="s">
        <v>2774</v>
      </c>
      <c r="F665" t="str">
        <f>HYPERLINK("https://vsd.vn/vi/ad/141666","Link")</f>
        <v>Link</v>
      </c>
    </row>
    <row r="666" spans="1:6" x14ac:dyDescent="0.25">
      <c r="A666" s="2">
        <v>44327.709641203714</v>
      </c>
      <c r="B666" t="s">
        <v>665</v>
      </c>
      <c r="C666" t="s">
        <v>1813</v>
      </c>
      <c r="D666" t="s">
        <v>2313</v>
      </c>
      <c r="E666" t="s">
        <v>2775</v>
      </c>
      <c r="F666" t="str">
        <f>HYPERLINK("https://vsd.vn/vi/ad/141663","Link")</f>
        <v>Link</v>
      </c>
    </row>
    <row r="667" spans="1:6" x14ac:dyDescent="0.25">
      <c r="A667" s="2">
        <v>44327.689918981479</v>
      </c>
      <c r="B667" t="s">
        <v>666</v>
      </c>
      <c r="C667" t="s">
        <v>1814</v>
      </c>
      <c r="D667" t="s">
        <v>2317</v>
      </c>
      <c r="E667" t="s">
        <v>2776</v>
      </c>
      <c r="F667" t="str">
        <f>HYPERLINK("https://vsd.vn/vi/ad/141648","Link")</f>
        <v>Link</v>
      </c>
    </row>
    <row r="668" spans="1:6" x14ac:dyDescent="0.25">
      <c r="A668" s="2">
        <v>44327.68787037037</v>
      </c>
      <c r="B668" t="s">
        <v>667</v>
      </c>
      <c r="C668" t="s">
        <v>1815</v>
      </c>
      <c r="D668" t="s">
        <v>2317</v>
      </c>
      <c r="E668" t="s">
        <v>2777</v>
      </c>
      <c r="F668" t="str">
        <f>HYPERLINK("https://vsd.vn/vi/ad/141636","Link")</f>
        <v>Link</v>
      </c>
    </row>
    <row r="669" spans="1:6" x14ac:dyDescent="0.25">
      <c r="A669" s="2">
        <v>44327.522372685176</v>
      </c>
      <c r="B669" t="s">
        <v>668</v>
      </c>
      <c r="C669" t="s">
        <v>1816</v>
      </c>
      <c r="D669" t="s">
        <v>2318</v>
      </c>
      <c r="F669" t="str">
        <f>HYPERLINK("https://vsd.vn/vi/ad/141627","Link")</f>
        <v>Link</v>
      </c>
    </row>
    <row r="670" spans="1:6" x14ac:dyDescent="0.25">
      <c r="A670" s="2">
        <v>44327.433645833327</v>
      </c>
      <c r="B670" t="s">
        <v>669</v>
      </c>
      <c r="F670" t="str">
        <f>HYPERLINK("https://vsd.vn/vi/ad/141626","Link")</f>
        <v>Link</v>
      </c>
    </row>
    <row r="671" spans="1:6" x14ac:dyDescent="0.25">
      <c r="A671" s="2">
        <v>44326.705254629633</v>
      </c>
      <c r="B671" t="s">
        <v>670</v>
      </c>
      <c r="D671" t="s">
        <v>2319</v>
      </c>
      <c r="E671" t="s">
        <v>2762</v>
      </c>
      <c r="F671" t="str">
        <f>HYPERLINK("https://vsd.vn/vi/ad/141614","Link")</f>
        <v>Link</v>
      </c>
    </row>
    <row r="672" spans="1:6" x14ac:dyDescent="0.25">
      <c r="A672" s="2">
        <v>44326.703680555547</v>
      </c>
      <c r="B672" t="s">
        <v>671</v>
      </c>
      <c r="C672" t="s">
        <v>1605</v>
      </c>
      <c r="D672" t="s">
        <v>2316</v>
      </c>
      <c r="E672" t="s">
        <v>2765</v>
      </c>
      <c r="F672" t="str">
        <f>HYPERLINK("https://vsd.vn/vi/ad/141613","Link")</f>
        <v>Link</v>
      </c>
    </row>
    <row r="673" spans="1:6" x14ac:dyDescent="0.25">
      <c r="A673" s="2">
        <v>44326.693796296298</v>
      </c>
      <c r="B673" t="s">
        <v>672</v>
      </c>
      <c r="C673" t="s">
        <v>1480</v>
      </c>
      <c r="D673" t="s">
        <v>2319</v>
      </c>
      <c r="F673" t="str">
        <f>HYPERLINK("https://vsd.vn/vi/ad/141609","Link")</f>
        <v>Link</v>
      </c>
    </row>
    <row r="674" spans="1:6" x14ac:dyDescent="0.25">
      <c r="A674" s="2">
        <v>44326.689942129633</v>
      </c>
      <c r="B674" t="s">
        <v>673</v>
      </c>
      <c r="C674" t="s">
        <v>1817</v>
      </c>
      <c r="D674" t="s">
        <v>2315</v>
      </c>
      <c r="E674" t="s">
        <v>2730</v>
      </c>
      <c r="F674" t="str">
        <f>HYPERLINK("https://vsd.vn/vi/ad/141612","Link")</f>
        <v>Link</v>
      </c>
    </row>
    <row r="675" spans="1:6" x14ac:dyDescent="0.25">
      <c r="A675" s="2">
        <v>44326.627013888887</v>
      </c>
      <c r="B675" t="s">
        <v>674</v>
      </c>
      <c r="C675" t="s">
        <v>1818</v>
      </c>
      <c r="D675" t="s">
        <v>2315</v>
      </c>
      <c r="E675" t="s">
        <v>2699</v>
      </c>
      <c r="F675" t="str">
        <f>HYPERLINK("https://vsd.vn/vi/ad/141607","Link")</f>
        <v>Link</v>
      </c>
    </row>
    <row r="676" spans="1:6" x14ac:dyDescent="0.25">
      <c r="A676" s="2">
        <v>44326.626284722217</v>
      </c>
      <c r="B676" t="s">
        <v>675</v>
      </c>
      <c r="C676" t="s">
        <v>1477</v>
      </c>
      <c r="D676" t="s">
        <v>2315</v>
      </c>
      <c r="E676" t="s">
        <v>2712</v>
      </c>
      <c r="F676" t="str">
        <f>HYPERLINK("https://vsd.vn/vi/ad/141608","Link")</f>
        <v>Link</v>
      </c>
    </row>
    <row r="677" spans="1:6" x14ac:dyDescent="0.25">
      <c r="A677" s="2">
        <v>44326.572696759264</v>
      </c>
      <c r="B677" t="s">
        <v>676</v>
      </c>
      <c r="C677" t="s">
        <v>1819</v>
      </c>
      <c r="D677" t="s">
        <v>2312</v>
      </c>
      <c r="E677" t="s">
        <v>2778</v>
      </c>
      <c r="F677" t="str">
        <f>HYPERLINK("https://vsd.vn/vi/ad/141604","Link")</f>
        <v>Link</v>
      </c>
    </row>
    <row r="678" spans="1:6" x14ac:dyDescent="0.25">
      <c r="A678" s="2">
        <v>44326.522465277783</v>
      </c>
      <c r="B678" t="s">
        <v>677</v>
      </c>
      <c r="C678" t="s">
        <v>1745</v>
      </c>
      <c r="D678" t="s">
        <v>2311</v>
      </c>
      <c r="E678" t="s">
        <v>2682</v>
      </c>
      <c r="F678" t="str">
        <f>HYPERLINK("https://vsd.vn/vi/ad/141602","Link")</f>
        <v>Link</v>
      </c>
    </row>
    <row r="679" spans="1:6" x14ac:dyDescent="0.25">
      <c r="A679" s="2">
        <v>44326.522060185183</v>
      </c>
      <c r="B679" t="s">
        <v>678</v>
      </c>
      <c r="C679" t="s">
        <v>1647</v>
      </c>
      <c r="D679" t="s">
        <v>2319</v>
      </c>
      <c r="E679" t="s">
        <v>2779</v>
      </c>
      <c r="F679" t="str">
        <f>HYPERLINK("https://vsd.vn/vi/ad/141601","Link")</f>
        <v>Link</v>
      </c>
    </row>
    <row r="680" spans="1:6" x14ac:dyDescent="0.25">
      <c r="A680" s="2">
        <v>44326.521481481483</v>
      </c>
      <c r="B680" t="s">
        <v>679</v>
      </c>
      <c r="C680" t="s">
        <v>1820</v>
      </c>
      <c r="D680" t="s">
        <v>2320</v>
      </c>
      <c r="E680" t="s">
        <v>2717</v>
      </c>
      <c r="F680" t="str">
        <f>HYPERLINK("https://vsd.vn/vi/ad/141600","Link")</f>
        <v>Link</v>
      </c>
    </row>
    <row r="681" spans="1:6" x14ac:dyDescent="0.25">
      <c r="A681" s="2">
        <v>44326.483969907407</v>
      </c>
      <c r="B681" t="s">
        <v>418</v>
      </c>
      <c r="E681" t="s">
        <v>2780</v>
      </c>
      <c r="F681" t="str">
        <f>HYPERLINK("https://vsd.vn/vi/ad/141596","Link")</f>
        <v>Link</v>
      </c>
    </row>
    <row r="682" spans="1:6" x14ac:dyDescent="0.25">
      <c r="A682" s="2">
        <v>44323.75</v>
      </c>
      <c r="B682" t="s">
        <v>680</v>
      </c>
      <c r="C682" t="s">
        <v>1821</v>
      </c>
      <c r="D682" t="s">
        <v>2321</v>
      </c>
      <c r="F682" t="str">
        <f>HYPERLINK("https://vsd.vn/vi/ad/141540","Link")</f>
        <v>Link</v>
      </c>
    </row>
    <row r="683" spans="1:6" x14ac:dyDescent="0.25">
      <c r="A683" s="2">
        <v>44323.730243055557</v>
      </c>
      <c r="B683" t="s">
        <v>681</v>
      </c>
      <c r="F683" t="str">
        <f>HYPERLINK("https://vsd.vn/vi/ad/141566","Link")</f>
        <v>Link</v>
      </c>
    </row>
    <row r="684" spans="1:6" x14ac:dyDescent="0.25">
      <c r="A684" s="2">
        <v>44323.723194444443</v>
      </c>
      <c r="B684" t="s">
        <v>682</v>
      </c>
      <c r="C684" t="s">
        <v>1703</v>
      </c>
      <c r="D684" t="s">
        <v>2316</v>
      </c>
      <c r="E684" t="s">
        <v>2750</v>
      </c>
      <c r="F684" t="str">
        <f>HYPERLINK("https://vsd.vn/vi/ad/141554","Link")</f>
        <v>Link</v>
      </c>
    </row>
    <row r="685" spans="1:6" x14ac:dyDescent="0.25">
      <c r="A685" s="2">
        <v>44323.722303240742</v>
      </c>
      <c r="B685" t="s">
        <v>683</v>
      </c>
      <c r="C685" t="s">
        <v>1472</v>
      </c>
      <c r="D685" t="s">
        <v>2310</v>
      </c>
      <c r="E685" t="s">
        <v>2781</v>
      </c>
      <c r="F685" t="str">
        <f>HYPERLINK("https://vsd.vn/vi/ad/141542","Link")</f>
        <v>Link</v>
      </c>
    </row>
    <row r="686" spans="1:6" x14ac:dyDescent="0.25">
      <c r="A686" s="2">
        <v>44323.720289351862</v>
      </c>
      <c r="B686" t="s">
        <v>684</v>
      </c>
      <c r="C686" t="s">
        <v>1636</v>
      </c>
      <c r="D686" t="s">
        <v>2321</v>
      </c>
      <c r="E686" t="s">
        <v>2643</v>
      </c>
      <c r="F686" t="str">
        <f>HYPERLINK("https://vsd.vn/vi/ad/141525","Link")</f>
        <v>Link</v>
      </c>
    </row>
    <row r="687" spans="1:6" x14ac:dyDescent="0.25">
      <c r="A687" s="2">
        <v>44323.719768518517</v>
      </c>
      <c r="B687" t="s">
        <v>685</v>
      </c>
      <c r="D687" t="s">
        <v>2320</v>
      </c>
      <c r="E687" t="s">
        <v>2782</v>
      </c>
      <c r="F687" t="str">
        <f>HYPERLINK("https://vsd.vn/vi/ad/141526","Link")</f>
        <v>Link</v>
      </c>
    </row>
    <row r="688" spans="1:6" x14ac:dyDescent="0.25">
      <c r="A688" s="2">
        <v>44323.719097222223</v>
      </c>
      <c r="B688" t="s">
        <v>686</v>
      </c>
      <c r="C688" t="s">
        <v>1484</v>
      </c>
      <c r="D688" t="s">
        <v>2319</v>
      </c>
      <c r="E688" t="s">
        <v>2730</v>
      </c>
      <c r="F688" t="str">
        <f>HYPERLINK("https://vsd.vn/vi/ad/141534","Link")</f>
        <v>Link</v>
      </c>
    </row>
    <row r="689" spans="1:6" x14ac:dyDescent="0.25">
      <c r="A689" s="2">
        <v>44323.718599537038</v>
      </c>
      <c r="B689" t="s">
        <v>687</v>
      </c>
      <c r="C689" t="s">
        <v>1822</v>
      </c>
      <c r="D689" t="s">
        <v>2320</v>
      </c>
      <c r="E689" t="s">
        <v>2782</v>
      </c>
      <c r="F689" t="str">
        <f>HYPERLINK("https://vsd.vn/vi/ad/141535","Link")</f>
        <v>Link</v>
      </c>
    </row>
    <row r="690" spans="1:6" x14ac:dyDescent="0.25">
      <c r="A690" s="2">
        <v>44323.716562499998</v>
      </c>
      <c r="B690" t="s">
        <v>688</v>
      </c>
      <c r="C690" t="s">
        <v>1706</v>
      </c>
      <c r="D690" t="s">
        <v>2321</v>
      </c>
      <c r="E690" t="s">
        <v>2783</v>
      </c>
      <c r="F690" t="str">
        <f>HYPERLINK("https://vsd.vn/vi/ad/141551","Link")</f>
        <v>Link</v>
      </c>
    </row>
    <row r="691" spans="1:6" x14ac:dyDescent="0.25">
      <c r="A691" s="2">
        <v>44323.716064814813</v>
      </c>
      <c r="B691" t="s">
        <v>689</v>
      </c>
      <c r="C691" t="s">
        <v>1508</v>
      </c>
      <c r="D691" t="s">
        <v>2320</v>
      </c>
      <c r="E691" t="s">
        <v>2784</v>
      </c>
      <c r="F691" t="str">
        <f>HYPERLINK("https://vsd.vn/vi/ad/141519","Link")</f>
        <v>Link</v>
      </c>
    </row>
    <row r="692" spans="1:6" x14ac:dyDescent="0.25">
      <c r="A692" s="2">
        <v>44323.714409722219</v>
      </c>
      <c r="B692" t="s">
        <v>690</v>
      </c>
      <c r="C692" t="s">
        <v>1823</v>
      </c>
      <c r="D692" t="s">
        <v>2314</v>
      </c>
      <c r="E692" t="s">
        <v>2731</v>
      </c>
      <c r="F692" t="str">
        <f>HYPERLINK("https://vsd.vn/vi/ad/141563","Link")</f>
        <v>Link</v>
      </c>
    </row>
    <row r="693" spans="1:6" x14ac:dyDescent="0.25">
      <c r="A693" s="2">
        <v>44323.709270833337</v>
      </c>
      <c r="B693" t="s">
        <v>691</v>
      </c>
      <c r="C693" t="s">
        <v>1494</v>
      </c>
      <c r="D693" t="s">
        <v>2310</v>
      </c>
      <c r="E693" t="s">
        <v>2785</v>
      </c>
      <c r="F693" t="str">
        <f>HYPERLINK("https://vsd.vn/vi/ad/141565","Link")</f>
        <v>Link</v>
      </c>
    </row>
    <row r="694" spans="1:6" x14ac:dyDescent="0.25">
      <c r="A694" s="2">
        <v>44323.686064814807</v>
      </c>
      <c r="B694" t="s">
        <v>692</v>
      </c>
      <c r="C694" t="s">
        <v>1484</v>
      </c>
      <c r="D694" t="s">
        <v>2304</v>
      </c>
      <c r="E694" t="s">
        <v>2781</v>
      </c>
      <c r="F694" t="str">
        <f>HYPERLINK("https://vsd.vn/vi/ad/141553","Link")</f>
        <v>Link</v>
      </c>
    </row>
    <row r="695" spans="1:6" x14ac:dyDescent="0.25">
      <c r="A695" s="2">
        <v>44323.684328703697</v>
      </c>
      <c r="B695" t="s">
        <v>693</v>
      </c>
      <c r="C695" t="s">
        <v>1824</v>
      </c>
      <c r="D695" t="s">
        <v>2319</v>
      </c>
      <c r="E695" t="s">
        <v>2786</v>
      </c>
      <c r="F695" t="str">
        <f>HYPERLINK("https://vsd.vn/vi/ad/141558","Link")</f>
        <v>Link</v>
      </c>
    </row>
    <row r="696" spans="1:6" x14ac:dyDescent="0.25">
      <c r="A696" s="2">
        <v>44323.683159722219</v>
      </c>
      <c r="B696" t="s">
        <v>694</v>
      </c>
      <c r="C696" t="s">
        <v>1467</v>
      </c>
      <c r="D696" t="s">
        <v>2312</v>
      </c>
      <c r="E696" t="s">
        <v>2762</v>
      </c>
      <c r="F696" t="str">
        <f>HYPERLINK("https://vsd.vn/vi/ad/141559","Link")</f>
        <v>Link</v>
      </c>
    </row>
    <row r="697" spans="1:6" x14ac:dyDescent="0.25">
      <c r="A697" s="2">
        <v>44323.666180555563</v>
      </c>
      <c r="B697" t="s">
        <v>695</v>
      </c>
      <c r="C697" t="s">
        <v>1825</v>
      </c>
      <c r="D697" t="s">
        <v>2317</v>
      </c>
      <c r="E697" t="s">
        <v>2787</v>
      </c>
      <c r="F697" t="str">
        <f>HYPERLINK("https://vsd.vn/vi/ad/141538","Link")</f>
        <v>Link</v>
      </c>
    </row>
    <row r="698" spans="1:6" x14ac:dyDescent="0.25">
      <c r="A698" s="2">
        <v>44323.597986111112</v>
      </c>
      <c r="B698" t="s">
        <v>696</v>
      </c>
      <c r="C698" t="s">
        <v>1484</v>
      </c>
      <c r="D698" t="s">
        <v>2318</v>
      </c>
      <c r="E698" t="s">
        <v>2731</v>
      </c>
      <c r="F698" t="str">
        <f>HYPERLINK("https://vsd.vn/vi/ad/141532","Link")</f>
        <v>Link</v>
      </c>
    </row>
    <row r="699" spans="1:6" x14ac:dyDescent="0.25">
      <c r="A699" s="2">
        <v>44323.397488425922</v>
      </c>
      <c r="B699" t="s">
        <v>697</v>
      </c>
      <c r="C699" t="s">
        <v>1734</v>
      </c>
      <c r="D699" t="s">
        <v>2318</v>
      </c>
      <c r="E699" t="s">
        <v>2709</v>
      </c>
      <c r="F699" t="str">
        <f>HYPERLINK("https://vsd.vn/vi/ad/141523","Link")</f>
        <v>Link</v>
      </c>
    </row>
    <row r="700" spans="1:6" x14ac:dyDescent="0.25">
      <c r="A700" s="2">
        <v>44323.36383101852</v>
      </c>
      <c r="B700" t="s">
        <v>698</v>
      </c>
      <c r="C700" t="s">
        <v>1467</v>
      </c>
      <c r="D700" t="s">
        <v>2321</v>
      </c>
      <c r="E700" t="s">
        <v>2754</v>
      </c>
      <c r="F700" t="str">
        <f>HYPERLINK("https://vsd.vn/vi/ad/141516","Link")</f>
        <v>Link</v>
      </c>
    </row>
    <row r="701" spans="1:6" x14ac:dyDescent="0.25">
      <c r="A701" s="2">
        <v>44323.361180555563</v>
      </c>
      <c r="B701" t="s">
        <v>699</v>
      </c>
      <c r="C701" t="s">
        <v>1826</v>
      </c>
      <c r="D701" t="s">
        <v>2322</v>
      </c>
      <c r="E701" t="s">
        <v>2782</v>
      </c>
      <c r="F701" t="str">
        <f>HYPERLINK("https://vsd.vn/vi/ad/141513","Link")</f>
        <v>Link</v>
      </c>
    </row>
    <row r="702" spans="1:6" x14ac:dyDescent="0.25">
      <c r="A702" s="2">
        <v>44322.708333333343</v>
      </c>
      <c r="B702" t="s">
        <v>700</v>
      </c>
      <c r="C702" t="s">
        <v>1827</v>
      </c>
      <c r="D702" t="s">
        <v>2321</v>
      </c>
      <c r="E702" t="s">
        <v>2765</v>
      </c>
      <c r="F702" t="str">
        <f>HYPERLINK("https://vsd.vn/vi/ad/141507","Link")</f>
        <v>Link</v>
      </c>
    </row>
    <row r="703" spans="1:6" x14ac:dyDescent="0.25">
      <c r="A703" s="2">
        <v>44322.700462962966</v>
      </c>
      <c r="B703" t="s">
        <v>701</v>
      </c>
      <c r="C703" t="s">
        <v>1545</v>
      </c>
      <c r="D703" t="s">
        <v>2306</v>
      </c>
      <c r="E703" t="s">
        <v>2788</v>
      </c>
      <c r="F703" t="str">
        <f>HYPERLINK("https://vsd.vn/vi/ad/141492","Link")</f>
        <v>Link</v>
      </c>
    </row>
    <row r="704" spans="1:6" x14ac:dyDescent="0.25">
      <c r="A704" s="2">
        <v>44322.672997685193</v>
      </c>
      <c r="B704" t="s">
        <v>702</v>
      </c>
      <c r="C704" t="s">
        <v>1828</v>
      </c>
      <c r="D704" t="s">
        <v>2306</v>
      </c>
      <c r="E704" t="s">
        <v>2722</v>
      </c>
      <c r="F704" t="str">
        <f>HYPERLINK("https://vsd.vn/vi/ad/141498","Link")</f>
        <v>Link</v>
      </c>
    </row>
    <row r="705" spans="1:6" x14ac:dyDescent="0.25">
      <c r="A705" s="2">
        <v>44322.605763888889</v>
      </c>
      <c r="B705" t="s">
        <v>661</v>
      </c>
      <c r="C705" t="s">
        <v>1810</v>
      </c>
      <c r="D705" t="s">
        <v>2317</v>
      </c>
      <c r="E705" t="s">
        <v>2789</v>
      </c>
      <c r="F705" t="str">
        <f>HYPERLINK("https://vsd.vn/vi/ad/141487","Link")</f>
        <v>Link</v>
      </c>
    </row>
    <row r="706" spans="1:6" x14ac:dyDescent="0.25">
      <c r="A706" s="2">
        <v>44322.604537037027</v>
      </c>
      <c r="B706" t="s">
        <v>703</v>
      </c>
      <c r="C706" t="s">
        <v>1469</v>
      </c>
      <c r="D706" t="s">
        <v>2321</v>
      </c>
      <c r="E706" t="s">
        <v>2761</v>
      </c>
      <c r="F706" t="str">
        <f>HYPERLINK("https://vsd.vn/vi/ad/141490","Link")</f>
        <v>Link</v>
      </c>
    </row>
    <row r="707" spans="1:6" x14ac:dyDescent="0.25">
      <c r="A707" s="2">
        <v>44322.604085648149</v>
      </c>
      <c r="B707" t="s">
        <v>704</v>
      </c>
      <c r="C707" t="s">
        <v>1477</v>
      </c>
      <c r="D707" t="s">
        <v>2320</v>
      </c>
      <c r="E707" t="s">
        <v>2790</v>
      </c>
      <c r="F707" t="str">
        <f>HYPERLINK("https://vsd.vn/vi/ad/141489","Link")</f>
        <v>Link</v>
      </c>
    </row>
    <row r="708" spans="1:6" x14ac:dyDescent="0.25">
      <c r="A708" s="2">
        <v>44322.579050925917</v>
      </c>
      <c r="B708" t="s">
        <v>705</v>
      </c>
      <c r="C708" t="s">
        <v>1829</v>
      </c>
      <c r="D708" t="s">
        <v>2321</v>
      </c>
      <c r="E708" t="s">
        <v>2709</v>
      </c>
      <c r="F708" t="str">
        <f>HYPERLINK("https://vsd.vn/vi/ad/141481","Link")</f>
        <v>Link</v>
      </c>
    </row>
    <row r="709" spans="1:6" x14ac:dyDescent="0.25">
      <c r="A709" s="2">
        <v>44322.400555555563</v>
      </c>
      <c r="B709" t="s">
        <v>706</v>
      </c>
      <c r="C709" t="s">
        <v>1467</v>
      </c>
      <c r="D709" t="s">
        <v>2319</v>
      </c>
      <c r="E709" t="s">
        <v>2731</v>
      </c>
      <c r="F709" t="str">
        <f>HYPERLINK("https://vsd.vn/vi/ad/141476","Link")</f>
        <v>Link</v>
      </c>
    </row>
    <row r="710" spans="1:6" x14ac:dyDescent="0.25">
      <c r="A710" s="2">
        <v>44321.717303240737</v>
      </c>
      <c r="B710" t="s">
        <v>707</v>
      </c>
      <c r="C710" t="s">
        <v>1830</v>
      </c>
      <c r="D710" t="s">
        <v>2323</v>
      </c>
      <c r="E710" t="s">
        <v>2784</v>
      </c>
      <c r="F710" t="str">
        <f>HYPERLINK("https://vsd.vn/vi/ad/141444","Link")</f>
        <v>Link</v>
      </c>
    </row>
    <row r="711" spans="1:6" x14ac:dyDescent="0.25">
      <c r="A711" s="2">
        <v>44321.716898148137</v>
      </c>
      <c r="B711" t="s">
        <v>708</v>
      </c>
      <c r="C711" t="s">
        <v>1831</v>
      </c>
      <c r="D711" t="s">
        <v>2322</v>
      </c>
      <c r="E711" t="s">
        <v>2784</v>
      </c>
      <c r="F711" t="str">
        <f>HYPERLINK("https://vsd.vn/vi/ad/141445","Link")</f>
        <v>Link</v>
      </c>
    </row>
    <row r="712" spans="1:6" x14ac:dyDescent="0.25">
      <c r="A712" s="2">
        <v>44321.708587962959</v>
      </c>
      <c r="B712" t="s">
        <v>709</v>
      </c>
      <c r="C712" t="s">
        <v>1832</v>
      </c>
      <c r="D712" t="s">
        <v>2321</v>
      </c>
      <c r="E712" t="s">
        <v>2791</v>
      </c>
      <c r="F712" t="str">
        <f>HYPERLINK("https://vsd.vn/vi/ad/141439","Link")</f>
        <v>Link</v>
      </c>
    </row>
    <row r="713" spans="1:6" x14ac:dyDescent="0.25">
      <c r="A713" s="2">
        <v>44321.707662037043</v>
      </c>
      <c r="B713" t="s">
        <v>710</v>
      </c>
      <c r="C713" t="s">
        <v>1833</v>
      </c>
      <c r="D713" t="s">
        <v>2322</v>
      </c>
      <c r="E713" t="s">
        <v>2792</v>
      </c>
      <c r="F713" t="str">
        <f>HYPERLINK("https://vsd.vn/vi/ad/141380","Link")</f>
        <v>Link</v>
      </c>
    </row>
    <row r="714" spans="1:6" x14ac:dyDescent="0.25">
      <c r="A714" s="2">
        <v>44321.707604166673</v>
      </c>
      <c r="B714" t="s">
        <v>711</v>
      </c>
      <c r="C714" t="s">
        <v>1576</v>
      </c>
      <c r="D714" t="s">
        <v>2309</v>
      </c>
      <c r="E714" t="s">
        <v>2537</v>
      </c>
      <c r="F714" t="str">
        <f>HYPERLINK("https://vsd.vn/vi/ad/141440","Link")</f>
        <v>Link</v>
      </c>
    </row>
    <row r="715" spans="1:6" x14ac:dyDescent="0.25">
      <c r="A715" s="2">
        <v>44321.705682870372</v>
      </c>
      <c r="B715" t="s">
        <v>712</v>
      </c>
      <c r="C715" t="s">
        <v>1499</v>
      </c>
      <c r="D715" t="s">
        <v>2322</v>
      </c>
      <c r="E715" t="s">
        <v>2761</v>
      </c>
      <c r="F715" t="str">
        <f>HYPERLINK("https://vsd.vn/vi/ad/141426","Link")</f>
        <v>Link</v>
      </c>
    </row>
    <row r="716" spans="1:6" x14ac:dyDescent="0.25">
      <c r="A716" s="2">
        <v>44321.705312500002</v>
      </c>
      <c r="B716" t="s">
        <v>713</v>
      </c>
      <c r="C716" t="s">
        <v>1692</v>
      </c>
      <c r="D716" t="s">
        <v>2322</v>
      </c>
      <c r="E716" t="s">
        <v>2783</v>
      </c>
      <c r="F716" t="str">
        <f>HYPERLINK("https://vsd.vn/vi/ad/141436","Link")</f>
        <v>Link</v>
      </c>
    </row>
    <row r="717" spans="1:6" x14ac:dyDescent="0.25">
      <c r="A717" s="2">
        <v>44321.702569444453</v>
      </c>
      <c r="B717" t="s">
        <v>714</v>
      </c>
      <c r="C717" t="s">
        <v>1834</v>
      </c>
      <c r="D717" t="s">
        <v>2321</v>
      </c>
      <c r="E717" t="s">
        <v>2749</v>
      </c>
      <c r="F717" t="str">
        <f>HYPERLINK("https://vsd.vn/vi/ad/141430","Link")</f>
        <v>Link</v>
      </c>
    </row>
    <row r="718" spans="1:6" x14ac:dyDescent="0.25">
      <c r="A718" s="2">
        <v>44321.699814814812</v>
      </c>
      <c r="B718" t="s">
        <v>715</v>
      </c>
      <c r="C718" t="s">
        <v>1468</v>
      </c>
      <c r="D718" t="s">
        <v>2322</v>
      </c>
      <c r="E718" t="s">
        <v>2768</v>
      </c>
      <c r="F718" t="str">
        <f>HYPERLINK("https://vsd.vn/vi/ad/141433","Link")</f>
        <v>Link</v>
      </c>
    </row>
    <row r="719" spans="1:6" x14ac:dyDescent="0.25">
      <c r="A719" s="2">
        <v>44321.624837962961</v>
      </c>
      <c r="B719" t="s">
        <v>716</v>
      </c>
      <c r="C719" t="s">
        <v>1494</v>
      </c>
      <c r="D719" t="s">
        <v>2319</v>
      </c>
      <c r="E719" t="s">
        <v>2782</v>
      </c>
      <c r="F719" t="str">
        <f>HYPERLINK("https://vsd.vn/vi/ad/141381","Link")</f>
        <v>Link</v>
      </c>
    </row>
    <row r="720" spans="1:6" x14ac:dyDescent="0.25">
      <c r="A720" s="2">
        <v>44321.62427083333</v>
      </c>
      <c r="B720" t="s">
        <v>717</v>
      </c>
      <c r="C720" t="s">
        <v>1835</v>
      </c>
      <c r="D720" t="s">
        <v>2322</v>
      </c>
      <c r="E720" t="s">
        <v>2793</v>
      </c>
      <c r="F720" t="str">
        <f>HYPERLINK("https://vsd.vn/vi/ad/141379","Link")</f>
        <v>Link</v>
      </c>
    </row>
    <row r="721" spans="1:6" x14ac:dyDescent="0.25">
      <c r="A721" s="2">
        <v>44321.623645833337</v>
      </c>
      <c r="B721" t="s">
        <v>718</v>
      </c>
      <c r="C721" t="s">
        <v>1836</v>
      </c>
      <c r="D721" t="s">
        <v>2323</v>
      </c>
      <c r="E721" t="s">
        <v>2794</v>
      </c>
      <c r="F721" t="str">
        <f>HYPERLINK("https://vsd.vn/vi/ad/141399","Link")</f>
        <v>Link</v>
      </c>
    </row>
    <row r="722" spans="1:6" x14ac:dyDescent="0.25">
      <c r="A722" s="2">
        <v>44321.622256944444</v>
      </c>
      <c r="B722" t="s">
        <v>719</v>
      </c>
      <c r="C722" t="s">
        <v>1484</v>
      </c>
      <c r="D722" t="s">
        <v>2323</v>
      </c>
      <c r="E722" t="s">
        <v>2795</v>
      </c>
      <c r="F722" t="str">
        <f>HYPERLINK("https://vsd.vn/vi/ad/141397","Link")</f>
        <v>Link</v>
      </c>
    </row>
    <row r="723" spans="1:6" x14ac:dyDescent="0.25">
      <c r="A723" s="2">
        <v>44321.448923611111</v>
      </c>
      <c r="B723" t="s">
        <v>720</v>
      </c>
      <c r="F723" t="str">
        <f>HYPERLINK("https://vsd.vn/vi/ad/141366","Link")</f>
        <v>Link</v>
      </c>
    </row>
    <row r="724" spans="1:6" x14ac:dyDescent="0.25">
      <c r="A724" s="2">
        <v>44321.418877314813</v>
      </c>
      <c r="B724" t="s">
        <v>721</v>
      </c>
      <c r="F724" t="str">
        <f>HYPERLINK("https://vsd.vn/vi/ad/141373","Link")</f>
        <v>Link</v>
      </c>
    </row>
    <row r="725" spans="1:6" x14ac:dyDescent="0.25">
      <c r="A725" s="2">
        <v>44321.38480324074</v>
      </c>
      <c r="B725" t="s">
        <v>722</v>
      </c>
      <c r="C725" t="s">
        <v>1724</v>
      </c>
      <c r="D725" t="s">
        <v>2323</v>
      </c>
      <c r="E725" t="s">
        <v>2720</v>
      </c>
      <c r="F725" t="str">
        <f>HYPERLINK("https://vsd.vn/vi/ad/141362","Link")</f>
        <v>Link</v>
      </c>
    </row>
    <row r="726" spans="1:6" x14ac:dyDescent="0.25">
      <c r="A726" s="2">
        <v>44321.384293981479</v>
      </c>
      <c r="B726" t="s">
        <v>723</v>
      </c>
      <c r="C726" t="s">
        <v>1703</v>
      </c>
      <c r="D726" t="s">
        <v>2323</v>
      </c>
      <c r="E726" t="s">
        <v>2720</v>
      </c>
      <c r="F726" t="str">
        <f>HYPERLINK("https://vsd.vn/vi/ad/141364","Link")</f>
        <v>Link</v>
      </c>
    </row>
    <row r="727" spans="1:6" x14ac:dyDescent="0.25">
      <c r="A727" s="2">
        <v>44321.358263888891</v>
      </c>
      <c r="B727" t="s">
        <v>724</v>
      </c>
      <c r="C727" t="s">
        <v>1467</v>
      </c>
      <c r="D727" t="s">
        <v>2315</v>
      </c>
      <c r="E727" t="s">
        <v>2688</v>
      </c>
      <c r="F727" t="str">
        <f>HYPERLINK("https://vsd.vn/vi/ad/141353","Link")</f>
        <v>Link</v>
      </c>
    </row>
    <row r="728" spans="1:6" x14ac:dyDescent="0.25">
      <c r="A728" s="2">
        <v>44320.695821759262</v>
      </c>
      <c r="B728" t="s">
        <v>725</v>
      </c>
      <c r="C728" t="s">
        <v>1477</v>
      </c>
      <c r="D728" t="s">
        <v>2316</v>
      </c>
      <c r="E728" t="s">
        <v>2731</v>
      </c>
      <c r="F728" t="str">
        <f>HYPERLINK("https://vsd.vn/vi/ad/141345","Link")</f>
        <v>Link</v>
      </c>
    </row>
    <row r="729" spans="1:6" x14ac:dyDescent="0.25">
      <c r="A729" s="2">
        <v>44320.693483796298</v>
      </c>
      <c r="B729" t="s">
        <v>726</v>
      </c>
      <c r="C729" t="s">
        <v>1494</v>
      </c>
      <c r="D729" t="s">
        <v>2323</v>
      </c>
      <c r="E729" t="s">
        <v>2796</v>
      </c>
      <c r="F729" t="str">
        <f>HYPERLINK("https://vsd.vn/vi/ad/141336","Link")</f>
        <v>Link</v>
      </c>
    </row>
    <row r="730" spans="1:6" x14ac:dyDescent="0.25">
      <c r="A730" s="2">
        <v>44320.693055555559</v>
      </c>
      <c r="B730" t="s">
        <v>727</v>
      </c>
      <c r="C730" t="s">
        <v>1692</v>
      </c>
      <c r="D730" t="s">
        <v>2323</v>
      </c>
      <c r="E730" t="s">
        <v>2797</v>
      </c>
      <c r="F730" t="str">
        <f>HYPERLINK("https://vsd.vn/vi/ad/141335","Link")</f>
        <v>Link</v>
      </c>
    </row>
    <row r="731" spans="1:6" x14ac:dyDescent="0.25">
      <c r="A731" s="2">
        <v>44320.633923611109</v>
      </c>
      <c r="B731" t="s">
        <v>728</v>
      </c>
      <c r="C731" t="s">
        <v>1837</v>
      </c>
      <c r="D731" t="s">
        <v>2319</v>
      </c>
      <c r="E731" t="s">
        <v>2685</v>
      </c>
      <c r="F731" t="str">
        <f>HYPERLINK("https://vsd.vn/vi/ad/141341","Link")</f>
        <v>Link</v>
      </c>
    </row>
    <row r="732" spans="1:6" x14ac:dyDescent="0.25">
      <c r="A732" s="2">
        <v>44320.625532407408</v>
      </c>
      <c r="B732" t="s">
        <v>729</v>
      </c>
      <c r="C732" t="s">
        <v>1765</v>
      </c>
      <c r="D732" t="s">
        <v>2323</v>
      </c>
      <c r="F732" t="str">
        <f>HYPERLINK("https://vsd.vn/vi/ad/141340","Link")</f>
        <v>Link</v>
      </c>
    </row>
    <row r="733" spans="1:6" x14ac:dyDescent="0.25">
      <c r="A733" s="2">
        <v>44315.729363425933</v>
      </c>
      <c r="B733" t="s">
        <v>730</v>
      </c>
      <c r="C733" t="s">
        <v>1692</v>
      </c>
      <c r="D733" t="s">
        <v>2323</v>
      </c>
      <c r="E733" t="s">
        <v>2798</v>
      </c>
      <c r="F733" t="str">
        <f>HYPERLINK("https://vsd.vn/vi/ad/141309","Link")</f>
        <v>Link</v>
      </c>
    </row>
    <row r="734" spans="1:6" x14ac:dyDescent="0.25">
      <c r="A734" s="2">
        <v>44315.722916666673</v>
      </c>
      <c r="B734" t="s">
        <v>731</v>
      </c>
      <c r="E734" t="s">
        <v>2799</v>
      </c>
      <c r="F734" t="str">
        <f>HYPERLINK("https://vsd.vn/vi/ad/141506","Link")</f>
        <v>Link</v>
      </c>
    </row>
    <row r="735" spans="1:6" x14ac:dyDescent="0.25">
      <c r="A735" s="2">
        <v>44315.714594907397</v>
      </c>
      <c r="B735" t="s">
        <v>732</v>
      </c>
      <c r="C735" t="s">
        <v>1494</v>
      </c>
      <c r="D735" t="s">
        <v>2323</v>
      </c>
      <c r="E735" t="s">
        <v>2782</v>
      </c>
      <c r="F735" t="str">
        <f>HYPERLINK("https://vsd.vn/vi/ad/141305","Link")</f>
        <v>Link</v>
      </c>
    </row>
    <row r="736" spans="1:6" x14ac:dyDescent="0.25">
      <c r="A736" s="2">
        <v>44315.712800925918</v>
      </c>
      <c r="B736" t="s">
        <v>733</v>
      </c>
      <c r="C736" t="s">
        <v>1838</v>
      </c>
      <c r="D736" t="s">
        <v>2319</v>
      </c>
      <c r="E736" t="s">
        <v>2768</v>
      </c>
      <c r="F736" t="str">
        <f>HYPERLINK("https://vsd.vn/vi/ad/141300","Link")</f>
        <v>Link</v>
      </c>
    </row>
    <row r="737" spans="1:6" x14ac:dyDescent="0.25">
      <c r="A737" s="2">
        <v>44315.706261574072</v>
      </c>
      <c r="B737" t="s">
        <v>734</v>
      </c>
      <c r="C737" t="s">
        <v>1839</v>
      </c>
      <c r="D737" t="s">
        <v>2323</v>
      </c>
      <c r="E737" t="s">
        <v>2784</v>
      </c>
      <c r="F737" t="str">
        <f>HYPERLINK("https://vsd.vn/vi/ad/141293","Link")</f>
        <v>Link</v>
      </c>
    </row>
    <row r="738" spans="1:6" x14ac:dyDescent="0.25">
      <c r="A738" s="2">
        <v>44315.702627314808</v>
      </c>
      <c r="B738" t="s">
        <v>735</v>
      </c>
      <c r="C738" t="s">
        <v>1840</v>
      </c>
      <c r="D738" t="s">
        <v>2323</v>
      </c>
      <c r="E738" t="s">
        <v>2800</v>
      </c>
      <c r="F738" t="str">
        <f>HYPERLINK("https://vsd.vn/vi/ad/141274","Link")</f>
        <v>Link</v>
      </c>
    </row>
    <row r="739" spans="1:6" x14ac:dyDescent="0.25">
      <c r="A739" s="2">
        <v>44315.635289351849</v>
      </c>
      <c r="B739" t="s">
        <v>736</v>
      </c>
      <c r="C739" t="s">
        <v>1841</v>
      </c>
      <c r="D739" t="s">
        <v>2324</v>
      </c>
      <c r="E739" t="s">
        <v>2801</v>
      </c>
      <c r="F739" t="str">
        <f>HYPERLINK("https://vsd.vn/vi/ad/141290","Link")</f>
        <v>Link</v>
      </c>
    </row>
    <row r="740" spans="1:6" x14ac:dyDescent="0.25">
      <c r="A740" s="2">
        <v>44315.634942129633</v>
      </c>
      <c r="B740" t="s">
        <v>737</v>
      </c>
      <c r="C740" t="s">
        <v>1842</v>
      </c>
      <c r="D740" t="s">
        <v>2323</v>
      </c>
      <c r="E740" t="s">
        <v>2802</v>
      </c>
      <c r="F740" t="str">
        <f>HYPERLINK("https://vsd.vn/vi/ad/141288","Link")</f>
        <v>Link</v>
      </c>
    </row>
    <row r="741" spans="1:6" x14ac:dyDescent="0.25">
      <c r="A741" s="2">
        <v>44315.631238425929</v>
      </c>
      <c r="B741" t="s">
        <v>738</v>
      </c>
      <c r="F741" t="str">
        <f>HYPERLINK("https://vsd.vn/vi/ad/141291","Link")</f>
        <v>Link</v>
      </c>
    </row>
    <row r="742" spans="1:6" x14ac:dyDescent="0.25">
      <c r="A742" s="2">
        <v>44315.595219907409</v>
      </c>
      <c r="B742" t="s">
        <v>739</v>
      </c>
      <c r="C742" t="s">
        <v>1843</v>
      </c>
      <c r="D742" t="s">
        <v>2313</v>
      </c>
      <c r="E742" t="s">
        <v>2803</v>
      </c>
      <c r="F742" t="str">
        <f>HYPERLINK("https://vsd.vn/vi/ad/141284","Link")</f>
        <v>Link</v>
      </c>
    </row>
    <row r="743" spans="1:6" x14ac:dyDescent="0.25">
      <c r="A743" s="2">
        <v>44315.590787037043</v>
      </c>
      <c r="B743" t="s">
        <v>740</v>
      </c>
      <c r="F743" t="str">
        <f>HYPERLINK("https://vsd.vn/vi/ad/141283","Link")</f>
        <v>Link</v>
      </c>
    </row>
    <row r="744" spans="1:6" x14ac:dyDescent="0.25">
      <c r="A744" s="2">
        <v>44315.413171296299</v>
      </c>
      <c r="B744" t="s">
        <v>741</v>
      </c>
      <c r="F744" t="str">
        <f>HYPERLINK("https://vsd.vn/vi/ad/141272","Link")</f>
        <v>Link</v>
      </c>
    </row>
    <row r="745" spans="1:6" x14ac:dyDescent="0.25">
      <c r="A745" s="2">
        <v>44315.3827662037</v>
      </c>
      <c r="B745" t="s">
        <v>742</v>
      </c>
      <c r="E745" t="s">
        <v>2804</v>
      </c>
      <c r="F745" t="str">
        <f>HYPERLINK("https://vsd.vn/vi/ad/141252","Link")</f>
        <v>Link</v>
      </c>
    </row>
    <row r="746" spans="1:6" x14ac:dyDescent="0.25">
      <c r="A746" s="2">
        <v>44314.729629629634</v>
      </c>
      <c r="B746" t="s">
        <v>743</v>
      </c>
      <c r="C746" t="s">
        <v>1539</v>
      </c>
      <c r="D746" t="s">
        <v>2322</v>
      </c>
      <c r="E746" t="s">
        <v>2805</v>
      </c>
      <c r="F746" t="str">
        <f>HYPERLINK("https://vsd.vn/vi/ad/141267","Link")</f>
        <v>Link</v>
      </c>
    </row>
    <row r="747" spans="1:6" x14ac:dyDescent="0.25">
      <c r="A747" s="2">
        <v>44314.724548611113</v>
      </c>
      <c r="B747" t="s">
        <v>744</v>
      </c>
      <c r="C747" t="s">
        <v>1844</v>
      </c>
      <c r="D747" t="s">
        <v>2323</v>
      </c>
      <c r="E747" t="s">
        <v>2806</v>
      </c>
      <c r="F747" t="str">
        <f>HYPERLINK("https://vsd.vn/vi/ad/141264","Link")</f>
        <v>Link</v>
      </c>
    </row>
    <row r="748" spans="1:6" x14ac:dyDescent="0.25">
      <c r="A748" s="2">
        <v>44314.722314814811</v>
      </c>
      <c r="B748" t="s">
        <v>745</v>
      </c>
      <c r="C748" t="s">
        <v>1845</v>
      </c>
      <c r="D748" t="s">
        <v>2325</v>
      </c>
      <c r="F748" t="str">
        <f>HYPERLINK("https://vsd.vn/vi/ad/141268","Link")</f>
        <v>Link</v>
      </c>
    </row>
    <row r="749" spans="1:6" x14ac:dyDescent="0.25">
      <c r="A749" s="2">
        <v>44314.7109837963</v>
      </c>
      <c r="B749" t="s">
        <v>746</v>
      </c>
      <c r="C749" t="s">
        <v>1846</v>
      </c>
      <c r="D749" t="s">
        <v>2324</v>
      </c>
      <c r="E749" t="s">
        <v>2807</v>
      </c>
      <c r="F749" t="str">
        <f>HYPERLINK("https://vsd.vn/vi/ad/141257","Link")</f>
        <v>Link</v>
      </c>
    </row>
    <row r="750" spans="1:6" x14ac:dyDescent="0.25">
      <c r="A750" s="2">
        <v>44314.707777777781</v>
      </c>
      <c r="B750" t="s">
        <v>747</v>
      </c>
      <c r="C750" t="s">
        <v>1847</v>
      </c>
      <c r="D750" t="s">
        <v>2324</v>
      </c>
      <c r="E750" t="s">
        <v>2808</v>
      </c>
      <c r="F750" t="str">
        <f>HYPERLINK("https://vsd.vn/vi/ad/141261","Link")</f>
        <v>Link</v>
      </c>
    </row>
    <row r="751" spans="1:6" x14ac:dyDescent="0.25">
      <c r="A751" s="2">
        <v>44314.701921296299</v>
      </c>
      <c r="B751" t="s">
        <v>748</v>
      </c>
      <c r="C751" t="s">
        <v>1499</v>
      </c>
      <c r="D751" t="s">
        <v>2324</v>
      </c>
      <c r="E751" t="s">
        <v>2809</v>
      </c>
      <c r="F751" t="str">
        <f>HYPERLINK("https://vsd.vn/vi/ad/141255","Link")</f>
        <v>Link</v>
      </c>
    </row>
    <row r="752" spans="1:6" x14ac:dyDescent="0.25">
      <c r="A752" s="2">
        <v>44314.701666666668</v>
      </c>
      <c r="B752" t="s">
        <v>749</v>
      </c>
      <c r="C752" t="s">
        <v>1848</v>
      </c>
      <c r="D752" t="s">
        <v>2323</v>
      </c>
      <c r="E752" t="s">
        <v>2810</v>
      </c>
      <c r="F752" t="str">
        <f>HYPERLINK("https://vsd.vn/vi/ad/141253","Link")</f>
        <v>Link</v>
      </c>
    </row>
    <row r="753" spans="1:6" x14ac:dyDescent="0.25">
      <c r="A753" s="2">
        <v>44314.698912037027</v>
      </c>
      <c r="B753" t="s">
        <v>750</v>
      </c>
      <c r="C753" t="s">
        <v>1479</v>
      </c>
      <c r="D753" t="s">
        <v>2323</v>
      </c>
      <c r="E753" t="s">
        <v>2811</v>
      </c>
      <c r="F753" t="str">
        <f>HYPERLINK("https://vsd.vn/vi/ad/141250","Link")</f>
        <v>Link</v>
      </c>
    </row>
    <row r="754" spans="1:6" x14ac:dyDescent="0.25">
      <c r="A754" s="2">
        <v>44314.695254629631</v>
      </c>
      <c r="B754" t="s">
        <v>751</v>
      </c>
      <c r="C754" t="s">
        <v>1849</v>
      </c>
      <c r="D754" t="s">
        <v>2325</v>
      </c>
      <c r="E754" t="s">
        <v>2812</v>
      </c>
      <c r="F754" t="str">
        <f>HYPERLINK("https://vsd.vn/vi/ad/141242","Link")</f>
        <v>Link</v>
      </c>
    </row>
    <row r="755" spans="1:6" x14ac:dyDescent="0.25">
      <c r="A755" s="2">
        <v>44314.453217592592</v>
      </c>
      <c r="B755" t="s">
        <v>752</v>
      </c>
      <c r="C755" t="s">
        <v>1638</v>
      </c>
      <c r="D755" t="s">
        <v>2322</v>
      </c>
      <c r="E755" t="s">
        <v>2813</v>
      </c>
      <c r="F755" t="str">
        <f>HYPERLINK("https://vsd.vn/vi/ad/141231","Link")</f>
        <v>Link</v>
      </c>
    </row>
    <row r="756" spans="1:6" x14ac:dyDescent="0.25">
      <c r="A756" s="2">
        <v>44314.451770833337</v>
      </c>
      <c r="B756" t="s">
        <v>753</v>
      </c>
      <c r="C756" t="s">
        <v>1564</v>
      </c>
      <c r="D756" t="s">
        <v>2326</v>
      </c>
      <c r="E756" t="s">
        <v>2814</v>
      </c>
      <c r="F756" t="str">
        <f>HYPERLINK("https://vsd.vn/vi/ad/141230","Link")</f>
        <v>Link</v>
      </c>
    </row>
    <row r="757" spans="1:6" x14ac:dyDescent="0.25">
      <c r="A757" s="2">
        <v>44314.421840277777</v>
      </c>
      <c r="B757" t="s">
        <v>754</v>
      </c>
      <c r="C757" t="s">
        <v>1477</v>
      </c>
      <c r="D757" t="s">
        <v>2315</v>
      </c>
      <c r="E757" t="s">
        <v>2720</v>
      </c>
      <c r="F757" t="str">
        <f>HYPERLINK("https://vsd.vn/vi/ad/141227","Link")</f>
        <v>Link</v>
      </c>
    </row>
    <row r="758" spans="1:6" x14ac:dyDescent="0.25">
      <c r="A758" s="2">
        <v>44314.419988425929</v>
      </c>
      <c r="B758" t="s">
        <v>755</v>
      </c>
      <c r="D758" t="s">
        <v>2319</v>
      </c>
      <c r="E758" t="s">
        <v>2815</v>
      </c>
      <c r="F758" t="str">
        <f>HYPERLINK("https://vsd.vn/vi/ad/141223","Link")</f>
        <v>Link</v>
      </c>
    </row>
    <row r="759" spans="1:6" x14ac:dyDescent="0.25">
      <c r="A759" s="2">
        <v>44314.419502314813</v>
      </c>
      <c r="B759" t="s">
        <v>756</v>
      </c>
      <c r="C759" t="s">
        <v>1850</v>
      </c>
      <c r="D759" t="s">
        <v>2327</v>
      </c>
      <c r="E759" t="s">
        <v>2793</v>
      </c>
      <c r="F759" t="str">
        <f>HYPERLINK("https://vsd.vn/vi/ad/141226","Link")</f>
        <v>Link</v>
      </c>
    </row>
    <row r="760" spans="1:6" x14ac:dyDescent="0.25">
      <c r="A760" s="2">
        <v>44314.419085648151</v>
      </c>
      <c r="B760" t="s">
        <v>757</v>
      </c>
      <c r="C760" t="s">
        <v>1836</v>
      </c>
      <c r="D760" t="s">
        <v>2323</v>
      </c>
      <c r="E760" t="s">
        <v>2768</v>
      </c>
      <c r="F760" t="str">
        <f>HYPERLINK("https://vsd.vn/vi/ad/141218","Link")</f>
        <v>Link</v>
      </c>
    </row>
    <row r="761" spans="1:6" x14ac:dyDescent="0.25">
      <c r="A761" s="2">
        <v>44313.675254629627</v>
      </c>
      <c r="B761" t="s">
        <v>758</v>
      </c>
      <c r="D761" t="s">
        <v>2327</v>
      </c>
      <c r="E761" t="s">
        <v>2816</v>
      </c>
      <c r="F761" t="str">
        <f>HYPERLINK("https://vsd.vn/vi/ad/141209","Link")</f>
        <v>Link</v>
      </c>
    </row>
    <row r="762" spans="1:6" x14ac:dyDescent="0.25">
      <c r="A762" s="2">
        <v>44313.674791666657</v>
      </c>
      <c r="B762" t="s">
        <v>759</v>
      </c>
      <c r="C762" t="s">
        <v>1499</v>
      </c>
      <c r="D762" t="s">
        <v>2321</v>
      </c>
      <c r="E762" t="s">
        <v>2782</v>
      </c>
      <c r="F762" t="str">
        <f>HYPERLINK("https://vsd.vn/vi/ad/141211","Link")</f>
        <v>Link</v>
      </c>
    </row>
    <row r="763" spans="1:6" x14ac:dyDescent="0.25">
      <c r="A763" s="2">
        <v>44313.67428240741</v>
      </c>
      <c r="B763" t="s">
        <v>760</v>
      </c>
      <c r="C763" t="s">
        <v>1851</v>
      </c>
      <c r="D763" t="s">
        <v>2325</v>
      </c>
      <c r="E763" t="s">
        <v>2782</v>
      </c>
      <c r="F763" t="str">
        <f>HYPERLINK("https://vsd.vn/vi/ad/141210","Link")</f>
        <v>Link</v>
      </c>
    </row>
    <row r="764" spans="1:6" x14ac:dyDescent="0.25">
      <c r="A764" s="2">
        <v>44313.654641203713</v>
      </c>
      <c r="B764" t="s">
        <v>761</v>
      </c>
      <c r="C764" t="s">
        <v>1852</v>
      </c>
      <c r="D764" t="s">
        <v>2325</v>
      </c>
      <c r="E764" t="s">
        <v>2811</v>
      </c>
      <c r="F764" t="str">
        <f>HYPERLINK("https://vsd.vn/vi/ad/141205","Link")</f>
        <v>Link</v>
      </c>
    </row>
    <row r="765" spans="1:6" x14ac:dyDescent="0.25">
      <c r="A765" s="2">
        <v>44313.607476851852</v>
      </c>
      <c r="B765" t="s">
        <v>762</v>
      </c>
      <c r="C765" t="s">
        <v>1853</v>
      </c>
      <c r="D765" t="s">
        <v>2327</v>
      </c>
      <c r="E765" t="s">
        <v>2817</v>
      </c>
      <c r="F765" t="str">
        <f>HYPERLINK("https://vsd.vn/vi/ad/141192","Link")</f>
        <v>Link</v>
      </c>
    </row>
    <row r="766" spans="1:6" x14ac:dyDescent="0.25">
      <c r="A766" s="2">
        <v>44313.604583333326</v>
      </c>
      <c r="B766" t="s">
        <v>763</v>
      </c>
      <c r="C766" t="s">
        <v>1854</v>
      </c>
      <c r="D766" t="s">
        <v>2327</v>
      </c>
      <c r="F766" t="str">
        <f>HYPERLINK("https://vsd.vn/vi/ad/141188","Link")</f>
        <v>Link</v>
      </c>
    </row>
    <row r="767" spans="1:6" x14ac:dyDescent="0.25">
      <c r="A767" s="2">
        <v>44313.593194444453</v>
      </c>
      <c r="B767" t="s">
        <v>764</v>
      </c>
      <c r="C767" t="s">
        <v>1468</v>
      </c>
      <c r="D767" t="s">
        <v>2323</v>
      </c>
      <c r="E767" t="s">
        <v>2761</v>
      </c>
      <c r="F767" t="str">
        <f>HYPERLINK("https://vsd.vn/vi/ad/141193","Link")</f>
        <v>Link</v>
      </c>
    </row>
    <row r="768" spans="1:6" x14ac:dyDescent="0.25">
      <c r="A768" s="2">
        <v>44313.57539351852</v>
      </c>
      <c r="B768" t="s">
        <v>765</v>
      </c>
      <c r="C768" t="s">
        <v>1537</v>
      </c>
      <c r="D768" t="s">
        <v>2319</v>
      </c>
      <c r="E768" t="s">
        <v>2818</v>
      </c>
      <c r="F768" t="str">
        <f>HYPERLINK("https://vsd.vn/vi/ad/141191","Link")</f>
        <v>Link</v>
      </c>
    </row>
    <row r="769" spans="1:6" x14ac:dyDescent="0.25">
      <c r="A769" s="2">
        <v>44313.575138888889</v>
      </c>
      <c r="B769" t="s">
        <v>766</v>
      </c>
      <c r="C769" t="s">
        <v>1484</v>
      </c>
      <c r="D769" t="s">
        <v>2326</v>
      </c>
      <c r="E769" t="s">
        <v>2819</v>
      </c>
      <c r="F769" t="str">
        <f>HYPERLINK("https://vsd.vn/vi/ad/141190","Link")</f>
        <v>Link</v>
      </c>
    </row>
    <row r="770" spans="1:6" x14ac:dyDescent="0.25">
      <c r="A770" s="2">
        <v>44313.363078703696</v>
      </c>
      <c r="B770" t="s">
        <v>767</v>
      </c>
      <c r="C770" t="s">
        <v>1494</v>
      </c>
      <c r="D770" t="s">
        <v>2324</v>
      </c>
      <c r="E770" t="s">
        <v>2820</v>
      </c>
      <c r="F770" t="str">
        <f>HYPERLINK("https://vsd.vn/vi/ad/141171","Link")</f>
        <v>Link</v>
      </c>
    </row>
    <row r="771" spans="1:6" x14ac:dyDescent="0.25">
      <c r="A771" s="2">
        <v>44312.649664351848</v>
      </c>
      <c r="B771" t="s">
        <v>768</v>
      </c>
      <c r="C771" t="s">
        <v>1855</v>
      </c>
      <c r="D771" t="s">
        <v>2324</v>
      </c>
      <c r="E771" t="s">
        <v>2790</v>
      </c>
      <c r="F771" t="str">
        <f>HYPERLINK("https://vsd.vn/vi/ad/141151","Link")</f>
        <v>Link</v>
      </c>
    </row>
    <row r="772" spans="1:6" x14ac:dyDescent="0.25">
      <c r="A772" s="2">
        <v>44309.706261574072</v>
      </c>
      <c r="B772" t="s">
        <v>769</v>
      </c>
      <c r="C772" t="s">
        <v>1856</v>
      </c>
      <c r="D772" t="s">
        <v>2322</v>
      </c>
      <c r="E772" t="s">
        <v>2765</v>
      </c>
      <c r="F772" t="str">
        <f>HYPERLINK("https://vsd.vn/vi/ad/141130","Link")</f>
        <v>Link</v>
      </c>
    </row>
    <row r="773" spans="1:6" x14ac:dyDescent="0.25">
      <c r="A773" s="2">
        <v>44309.705914351849</v>
      </c>
      <c r="B773" t="s">
        <v>770</v>
      </c>
      <c r="C773" t="s">
        <v>1857</v>
      </c>
      <c r="D773" t="s">
        <v>2327</v>
      </c>
      <c r="E773" t="s">
        <v>2821</v>
      </c>
      <c r="F773" t="str">
        <f>HYPERLINK("https://vsd.vn/vi/ad/141132","Link")</f>
        <v>Link</v>
      </c>
    </row>
    <row r="774" spans="1:6" x14ac:dyDescent="0.25">
      <c r="A774" s="2">
        <v>44309.702488425923</v>
      </c>
      <c r="B774" t="s">
        <v>771</v>
      </c>
      <c r="C774" t="s">
        <v>1858</v>
      </c>
      <c r="D774" t="s">
        <v>2327</v>
      </c>
      <c r="E774" t="s">
        <v>2822</v>
      </c>
      <c r="F774" t="str">
        <f>HYPERLINK("https://vsd.vn/vi/ad/141145","Link")</f>
        <v>Link</v>
      </c>
    </row>
    <row r="775" spans="1:6" x14ac:dyDescent="0.25">
      <c r="A775" s="2">
        <v>44309.675775462973</v>
      </c>
      <c r="B775" t="s">
        <v>772</v>
      </c>
      <c r="C775" t="s">
        <v>1859</v>
      </c>
      <c r="D775" t="s">
        <v>2328</v>
      </c>
      <c r="F775" t="str">
        <f>HYPERLINK("https://vsd.vn/vi/ad/141125","Link")</f>
        <v>Link</v>
      </c>
    </row>
    <row r="776" spans="1:6" x14ac:dyDescent="0.25">
      <c r="A776" s="2">
        <v>44309.635092592587</v>
      </c>
      <c r="B776" t="s">
        <v>773</v>
      </c>
      <c r="C776" t="s">
        <v>1860</v>
      </c>
      <c r="D776" t="s">
        <v>2327</v>
      </c>
      <c r="E776" t="s">
        <v>2782</v>
      </c>
      <c r="F776" t="str">
        <f>HYPERLINK("https://vsd.vn/vi/ad/141118","Link")</f>
        <v>Link</v>
      </c>
    </row>
    <row r="777" spans="1:6" x14ac:dyDescent="0.25">
      <c r="A777" s="2">
        <v>44309.634583333333</v>
      </c>
      <c r="B777" t="s">
        <v>774</v>
      </c>
      <c r="C777" t="s">
        <v>1861</v>
      </c>
      <c r="D777" t="s">
        <v>2328</v>
      </c>
      <c r="F777" t="str">
        <f>HYPERLINK("https://vsd.vn/vi/ad/141116","Link")</f>
        <v>Link</v>
      </c>
    </row>
    <row r="778" spans="1:6" x14ac:dyDescent="0.25">
      <c r="A778" s="2">
        <v>44309.379687499997</v>
      </c>
      <c r="B778" t="s">
        <v>775</v>
      </c>
      <c r="C778" t="s">
        <v>1468</v>
      </c>
      <c r="D778" t="s">
        <v>2323</v>
      </c>
      <c r="E778" t="s">
        <v>2811</v>
      </c>
      <c r="F778" t="str">
        <f>HYPERLINK("https://vsd.vn/vi/ad/141090","Link")</f>
        <v>Link</v>
      </c>
    </row>
    <row r="779" spans="1:6" x14ac:dyDescent="0.25">
      <c r="A779" s="2">
        <v>44309.379201388889</v>
      </c>
      <c r="B779" t="s">
        <v>776</v>
      </c>
      <c r="C779" t="s">
        <v>1778</v>
      </c>
      <c r="D779" t="s">
        <v>2327</v>
      </c>
      <c r="E779" t="s">
        <v>2823</v>
      </c>
      <c r="F779" t="str">
        <f>HYPERLINK("https://vsd.vn/vi/ad/141091","Link")</f>
        <v>Link</v>
      </c>
    </row>
    <row r="780" spans="1:6" x14ac:dyDescent="0.25">
      <c r="A780" s="2">
        <v>44308.70045138889</v>
      </c>
      <c r="B780" t="s">
        <v>777</v>
      </c>
      <c r="F780" t="str">
        <f>HYPERLINK("https://vsd.vn/vi/ad/141085","Link")</f>
        <v>Link</v>
      </c>
    </row>
    <row r="781" spans="1:6" x14ac:dyDescent="0.25">
      <c r="A781" s="2">
        <v>44308.699884259258</v>
      </c>
      <c r="B781" t="s">
        <v>778</v>
      </c>
      <c r="C781" t="s">
        <v>1842</v>
      </c>
      <c r="D781" t="s">
        <v>2329</v>
      </c>
      <c r="E781" t="s">
        <v>2824</v>
      </c>
      <c r="F781" t="str">
        <f>HYPERLINK("https://vsd.vn/vi/ad/141083","Link")</f>
        <v>Link</v>
      </c>
    </row>
    <row r="782" spans="1:6" x14ac:dyDescent="0.25">
      <c r="A782" s="2">
        <v>44306.694814814808</v>
      </c>
      <c r="B782" t="s">
        <v>779</v>
      </c>
      <c r="C782" t="s">
        <v>1494</v>
      </c>
      <c r="D782" t="s">
        <v>2323</v>
      </c>
      <c r="E782" t="s">
        <v>2790</v>
      </c>
      <c r="F782" t="str">
        <f>HYPERLINK("https://vsd.vn/vi/ad/141057","Link")</f>
        <v>Link</v>
      </c>
    </row>
    <row r="783" spans="1:6" x14ac:dyDescent="0.25">
      <c r="A783" s="2">
        <v>44306.688888888893</v>
      </c>
      <c r="B783" t="s">
        <v>780</v>
      </c>
      <c r="C783" t="s">
        <v>1862</v>
      </c>
      <c r="D783" t="s">
        <v>2330</v>
      </c>
      <c r="E783" t="s">
        <v>2825</v>
      </c>
      <c r="F783" t="str">
        <f>HYPERLINK("https://vsd.vn/vi/ad/141062","Link")</f>
        <v>Link</v>
      </c>
    </row>
    <row r="784" spans="1:6" x14ac:dyDescent="0.25">
      <c r="A784" s="2">
        <v>44306.654965277783</v>
      </c>
      <c r="B784" t="s">
        <v>781</v>
      </c>
      <c r="E784" t="s">
        <v>2826</v>
      </c>
      <c r="F784" t="str">
        <f>HYPERLINK("https://vsd.vn/vi/ad/141053","Link")</f>
        <v>Link</v>
      </c>
    </row>
    <row r="785" spans="1:6" x14ac:dyDescent="0.25">
      <c r="A785" s="2">
        <v>44306.458078703698</v>
      </c>
      <c r="B785" t="s">
        <v>782</v>
      </c>
      <c r="F785" t="str">
        <f>HYPERLINK("https://vsd.vn/vi/ad/141029","Link")</f>
        <v>Link</v>
      </c>
    </row>
    <row r="786" spans="1:6" x14ac:dyDescent="0.25">
      <c r="A786" s="2">
        <v>44306.396990740737</v>
      </c>
      <c r="B786" t="s">
        <v>783</v>
      </c>
      <c r="C786" t="s">
        <v>1863</v>
      </c>
      <c r="D786" t="s">
        <v>2330</v>
      </c>
      <c r="E786" t="s">
        <v>2784</v>
      </c>
      <c r="F786" t="str">
        <f>HYPERLINK("https://vsd.vn/vi/ad/141026","Link")</f>
        <v>Link</v>
      </c>
    </row>
    <row r="787" spans="1:6" x14ac:dyDescent="0.25">
      <c r="A787" s="2">
        <v>44306.368020833332</v>
      </c>
      <c r="B787" t="s">
        <v>784</v>
      </c>
      <c r="C787" t="s">
        <v>1864</v>
      </c>
      <c r="D787" t="s">
        <v>2327</v>
      </c>
      <c r="E787" t="s">
        <v>2827</v>
      </c>
      <c r="F787" t="str">
        <f>HYPERLINK("https://vsd.vn/vi/ad/141021","Link")</f>
        <v>Link</v>
      </c>
    </row>
    <row r="788" spans="1:6" x14ac:dyDescent="0.25">
      <c r="A788" s="2">
        <v>44305.722280092603</v>
      </c>
      <c r="B788" t="s">
        <v>785</v>
      </c>
      <c r="C788" t="s">
        <v>1865</v>
      </c>
      <c r="D788" t="s">
        <v>2330</v>
      </c>
      <c r="F788" t="str">
        <f>HYPERLINK("https://vsd.vn/vi/ad/141006","Link")</f>
        <v>Link</v>
      </c>
    </row>
    <row r="789" spans="1:6" x14ac:dyDescent="0.25">
      <c r="A789" s="2">
        <v>44305.719710648147</v>
      </c>
      <c r="B789" t="s">
        <v>786</v>
      </c>
      <c r="C789" t="s">
        <v>1494</v>
      </c>
      <c r="D789" t="s">
        <v>2330</v>
      </c>
      <c r="E789" t="s">
        <v>2828</v>
      </c>
      <c r="F789" t="str">
        <f>HYPERLINK("https://vsd.vn/vi/ad/141010","Link")</f>
        <v>Link</v>
      </c>
    </row>
    <row r="790" spans="1:6" x14ac:dyDescent="0.25">
      <c r="A790" s="2">
        <v>44305.718634259261</v>
      </c>
      <c r="B790" t="s">
        <v>787</v>
      </c>
      <c r="C790" t="s">
        <v>1632</v>
      </c>
      <c r="D790" t="s">
        <v>2331</v>
      </c>
      <c r="E790" t="s">
        <v>2802</v>
      </c>
      <c r="F790" t="str">
        <f>HYPERLINK("https://vsd.vn/vi/ad/141017","Link")</f>
        <v>Link</v>
      </c>
    </row>
    <row r="791" spans="1:6" x14ac:dyDescent="0.25">
      <c r="A791" s="2">
        <v>44305.632951388892</v>
      </c>
      <c r="B791" t="s">
        <v>788</v>
      </c>
      <c r="C791" t="s">
        <v>1866</v>
      </c>
      <c r="D791" t="s">
        <v>2332</v>
      </c>
      <c r="E791" t="s">
        <v>2829</v>
      </c>
      <c r="F791" t="str">
        <f>HYPERLINK("https://vsd.vn/vi/ad/140993","Link")</f>
        <v>Link</v>
      </c>
    </row>
    <row r="792" spans="1:6" x14ac:dyDescent="0.25">
      <c r="A792" s="2">
        <v>44302.713414351849</v>
      </c>
      <c r="B792" t="s">
        <v>789</v>
      </c>
      <c r="F792" t="str">
        <f>HYPERLINK("https://vsd.vn/vi/ad/140970","Link")</f>
        <v>Link</v>
      </c>
    </row>
    <row r="793" spans="1:6" x14ac:dyDescent="0.25">
      <c r="A793" s="2">
        <v>44302.703553240739</v>
      </c>
      <c r="B793" t="s">
        <v>790</v>
      </c>
      <c r="C793" t="s">
        <v>1867</v>
      </c>
      <c r="D793" t="s">
        <v>2319</v>
      </c>
      <c r="E793" t="s">
        <v>2830</v>
      </c>
      <c r="F793" t="str">
        <f>HYPERLINK("https://vsd.vn/vi/ad/140969","Link")</f>
        <v>Link</v>
      </c>
    </row>
    <row r="794" spans="1:6" x14ac:dyDescent="0.25">
      <c r="A794" s="2">
        <v>44302.651261574072</v>
      </c>
      <c r="B794" t="s">
        <v>791</v>
      </c>
      <c r="C794" t="s">
        <v>1868</v>
      </c>
      <c r="D794" t="s">
        <v>2332</v>
      </c>
      <c r="E794" t="s">
        <v>2828</v>
      </c>
      <c r="F794" t="str">
        <f>HYPERLINK("https://vsd.vn/vi/ad/140958","Link")</f>
        <v>Link</v>
      </c>
    </row>
    <row r="795" spans="1:6" x14ac:dyDescent="0.25">
      <c r="A795" s="2">
        <v>44302.650821759264</v>
      </c>
      <c r="B795" t="s">
        <v>792</v>
      </c>
      <c r="C795" t="s">
        <v>1638</v>
      </c>
      <c r="D795" t="s">
        <v>2332</v>
      </c>
      <c r="E795" t="s">
        <v>2831</v>
      </c>
      <c r="F795" t="str">
        <f>HYPERLINK("https://vsd.vn/vi/ad/140960","Link")</f>
        <v>Link</v>
      </c>
    </row>
    <row r="796" spans="1:6" x14ac:dyDescent="0.25">
      <c r="A796" s="2">
        <v>44302.65042824074</v>
      </c>
      <c r="B796" t="s">
        <v>793</v>
      </c>
      <c r="C796" t="s">
        <v>1869</v>
      </c>
      <c r="D796" t="s">
        <v>2333</v>
      </c>
      <c r="E796" t="s">
        <v>2832</v>
      </c>
      <c r="F796" t="str">
        <f>HYPERLINK("https://vsd.vn/vi/ad/140961","Link")</f>
        <v>Link</v>
      </c>
    </row>
    <row r="797" spans="1:6" x14ac:dyDescent="0.25">
      <c r="A797" s="2">
        <v>44302.647997685177</v>
      </c>
      <c r="B797" t="s">
        <v>794</v>
      </c>
      <c r="C797" t="s">
        <v>1870</v>
      </c>
      <c r="D797" t="s">
        <v>2331</v>
      </c>
      <c r="E797" t="s">
        <v>2833</v>
      </c>
      <c r="F797" t="str">
        <f>HYPERLINK("https://vsd.vn/vi/ad/140962","Link")</f>
        <v>Link</v>
      </c>
    </row>
    <row r="798" spans="1:6" x14ac:dyDescent="0.25">
      <c r="A798" s="2">
        <v>44302.397858796299</v>
      </c>
      <c r="B798" t="s">
        <v>795</v>
      </c>
      <c r="C798" t="s">
        <v>1871</v>
      </c>
      <c r="D798" t="s">
        <v>2334</v>
      </c>
      <c r="F798" t="str">
        <f>HYPERLINK("https://vsd.vn/vi/ad/140937","Link")</f>
        <v>Link</v>
      </c>
    </row>
    <row r="799" spans="1:6" x14ac:dyDescent="0.25">
      <c r="A799" s="2">
        <v>44301.634710648148</v>
      </c>
      <c r="B799" t="s">
        <v>796</v>
      </c>
      <c r="C799" t="s">
        <v>1872</v>
      </c>
      <c r="D799" t="s">
        <v>2333</v>
      </c>
      <c r="E799" t="s">
        <v>2834</v>
      </c>
      <c r="F799" t="str">
        <f>HYPERLINK("https://vsd.vn/vi/ad/140914","Link")</f>
        <v>Link</v>
      </c>
    </row>
    <row r="800" spans="1:6" x14ac:dyDescent="0.25">
      <c r="A800" s="2">
        <v>44300.654386574082</v>
      </c>
      <c r="B800" t="s">
        <v>797</v>
      </c>
      <c r="C800" t="s">
        <v>1638</v>
      </c>
      <c r="D800" t="s">
        <v>2334</v>
      </c>
      <c r="E800" t="s">
        <v>2835</v>
      </c>
      <c r="F800" t="str">
        <f>HYPERLINK("https://vsd.vn/vi/ad/140889","Link")</f>
        <v>Link</v>
      </c>
    </row>
    <row r="801" spans="1:6" x14ac:dyDescent="0.25">
      <c r="A801" s="2">
        <v>44300.607361111113</v>
      </c>
      <c r="B801" t="s">
        <v>798</v>
      </c>
      <c r="C801" t="s">
        <v>1484</v>
      </c>
      <c r="D801" t="s">
        <v>2331</v>
      </c>
      <c r="E801" t="s">
        <v>2790</v>
      </c>
      <c r="F801" t="str">
        <f>HYPERLINK("https://vsd.vn/vi/ad/140885","Link")</f>
        <v>Link</v>
      </c>
    </row>
    <row r="802" spans="1:6" x14ac:dyDescent="0.25">
      <c r="A802" s="2">
        <v>44300.576388888891</v>
      </c>
      <c r="B802" t="s">
        <v>799</v>
      </c>
      <c r="C802" t="s">
        <v>1873</v>
      </c>
      <c r="D802" t="s">
        <v>2330</v>
      </c>
      <c r="E802" t="s">
        <v>2836</v>
      </c>
      <c r="F802" t="str">
        <f>HYPERLINK("https://vsd.vn/vi/ad/140884","Link")</f>
        <v>Link</v>
      </c>
    </row>
    <row r="803" spans="1:6" x14ac:dyDescent="0.25">
      <c r="A803" s="2">
        <v>44300.429178240738</v>
      </c>
      <c r="B803" t="s">
        <v>800</v>
      </c>
      <c r="C803" t="s">
        <v>1874</v>
      </c>
      <c r="D803" t="s">
        <v>2335</v>
      </c>
      <c r="E803" t="s">
        <v>2837</v>
      </c>
      <c r="F803" t="str">
        <f>HYPERLINK("https://vsd.vn/vi/ad/140880","Link")</f>
        <v>Link</v>
      </c>
    </row>
    <row r="804" spans="1:6" x14ac:dyDescent="0.25">
      <c r="A804" s="2">
        <v>44299.711840277778</v>
      </c>
      <c r="B804" t="s">
        <v>801</v>
      </c>
      <c r="C804" t="s">
        <v>1875</v>
      </c>
      <c r="D804" t="s">
        <v>2330</v>
      </c>
      <c r="E804" t="s">
        <v>2838</v>
      </c>
      <c r="F804" t="str">
        <f>HYPERLINK("https://vsd.vn/vi/ad/140862","Link")</f>
        <v>Link</v>
      </c>
    </row>
    <row r="805" spans="1:6" x14ac:dyDescent="0.25">
      <c r="A805" s="2">
        <v>44299.661400462966</v>
      </c>
      <c r="B805" t="s">
        <v>802</v>
      </c>
      <c r="C805" t="s">
        <v>1790</v>
      </c>
      <c r="D805" t="s">
        <v>2332</v>
      </c>
      <c r="E805" t="s">
        <v>2824</v>
      </c>
      <c r="F805" t="str">
        <f>HYPERLINK("https://vsd.vn/vi/ad/140863","Link")</f>
        <v>Link</v>
      </c>
    </row>
    <row r="806" spans="1:6" x14ac:dyDescent="0.25">
      <c r="A806" s="2">
        <v>44299.45175925926</v>
      </c>
      <c r="B806" t="s">
        <v>803</v>
      </c>
      <c r="C806" t="s">
        <v>1876</v>
      </c>
      <c r="D806" t="s">
        <v>2330</v>
      </c>
      <c r="E806" t="s">
        <v>2797</v>
      </c>
      <c r="F806" t="str">
        <f>HYPERLINK("https://vsd.vn/vi/ad/140850","Link")</f>
        <v>Link</v>
      </c>
    </row>
    <row r="807" spans="1:6" x14ac:dyDescent="0.25">
      <c r="A807" s="2">
        <v>44299.450752314813</v>
      </c>
      <c r="B807" t="s">
        <v>804</v>
      </c>
      <c r="C807" t="s">
        <v>1877</v>
      </c>
      <c r="D807" t="s">
        <v>2332</v>
      </c>
      <c r="E807" t="s">
        <v>2839</v>
      </c>
      <c r="F807" t="str">
        <f>HYPERLINK("https://vsd.vn/vi/ad/140849","Link")</f>
        <v>Link</v>
      </c>
    </row>
    <row r="808" spans="1:6" x14ac:dyDescent="0.25">
      <c r="A808" s="2">
        <v>44299.446898148148</v>
      </c>
      <c r="B808" t="s">
        <v>805</v>
      </c>
      <c r="C808" t="s">
        <v>1878</v>
      </c>
      <c r="D808" t="s">
        <v>2332</v>
      </c>
      <c r="E808" t="s">
        <v>2840</v>
      </c>
      <c r="F808" t="str">
        <f>HYPERLINK("https://vsd.vn/vi/ad/140838","Link")</f>
        <v>Link</v>
      </c>
    </row>
    <row r="809" spans="1:6" x14ac:dyDescent="0.25">
      <c r="A809" s="2">
        <v>44299.444456018522</v>
      </c>
      <c r="B809" t="s">
        <v>806</v>
      </c>
      <c r="C809" t="s">
        <v>1879</v>
      </c>
      <c r="D809" t="s">
        <v>2336</v>
      </c>
      <c r="E809" t="s">
        <v>2841</v>
      </c>
      <c r="F809" t="str">
        <f>HYPERLINK("https://vsd.vn/vi/ad/140836","Link")</f>
        <v>Link</v>
      </c>
    </row>
    <row r="810" spans="1:6" x14ac:dyDescent="0.25">
      <c r="A810" s="2">
        <v>44298.717858796299</v>
      </c>
      <c r="B810" t="s">
        <v>807</v>
      </c>
      <c r="C810" t="s">
        <v>1880</v>
      </c>
      <c r="D810" t="s">
        <v>2336</v>
      </c>
      <c r="E810" t="s">
        <v>2842</v>
      </c>
      <c r="F810" t="str">
        <f>HYPERLINK("https://vsd.vn/vi/ad/140824","Link")</f>
        <v>Link</v>
      </c>
    </row>
    <row r="811" spans="1:6" x14ac:dyDescent="0.25">
      <c r="A811" s="2">
        <v>44298.623472222222</v>
      </c>
      <c r="B811" t="s">
        <v>808</v>
      </c>
      <c r="C811" t="s">
        <v>1881</v>
      </c>
      <c r="D811" t="s">
        <v>2333</v>
      </c>
      <c r="E811" t="s">
        <v>2823</v>
      </c>
      <c r="F811" t="str">
        <f>HYPERLINK("https://vsd.vn/vi/ad/140820","Link")</f>
        <v>Link</v>
      </c>
    </row>
    <row r="812" spans="1:6" x14ac:dyDescent="0.25">
      <c r="A812" s="2">
        <v>44295.739224537043</v>
      </c>
      <c r="B812" t="s">
        <v>809</v>
      </c>
      <c r="C812" t="s">
        <v>1467</v>
      </c>
      <c r="D812" t="s">
        <v>2336</v>
      </c>
      <c r="E812" t="s">
        <v>2843</v>
      </c>
      <c r="F812" t="str">
        <f>HYPERLINK("https://vsd.vn/vi/ad/140800","Link")</f>
        <v>Link</v>
      </c>
    </row>
    <row r="813" spans="1:6" x14ac:dyDescent="0.25">
      <c r="A813" s="2">
        <v>44295.700567129628</v>
      </c>
      <c r="B813" t="s">
        <v>810</v>
      </c>
      <c r="C813" t="s">
        <v>1494</v>
      </c>
      <c r="D813" t="s">
        <v>2337</v>
      </c>
      <c r="E813" t="s">
        <v>2844</v>
      </c>
      <c r="F813" t="str">
        <f>HYPERLINK("https://vsd.vn/vi/ad/140793","Link")</f>
        <v>Link</v>
      </c>
    </row>
    <row r="814" spans="1:6" x14ac:dyDescent="0.25">
      <c r="A814" s="2">
        <v>44295.676747685182</v>
      </c>
      <c r="B814" t="s">
        <v>811</v>
      </c>
      <c r="F814" t="str">
        <f>HYPERLINK("https://vsd.vn/vi/ad/140790","Link")</f>
        <v>Link</v>
      </c>
    </row>
    <row r="815" spans="1:6" x14ac:dyDescent="0.25">
      <c r="A815" s="2">
        <v>44294.684189814812</v>
      </c>
      <c r="B815" t="s">
        <v>812</v>
      </c>
      <c r="C815" t="s">
        <v>1882</v>
      </c>
      <c r="D815" t="s">
        <v>2338</v>
      </c>
      <c r="E815" t="s">
        <v>2845</v>
      </c>
      <c r="F815" t="str">
        <f>HYPERLINK("https://vsd.vn/vi/ad/140757","Link")</f>
        <v>Link</v>
      </c>
    </row>
    <row r="816" spans="1:6" x14ac:dyDescent="0.25">
      <c r="A816" s="2">
        <v>44294.673067129632</v>
      </c>
      <c r="B816" t="s">
        <v>813</v>
      </c>
      <c r="C816" t="s">
        <v>1467</v>
      </c>
      <c r="D816" t="s">
        <v>2327</v>
      </c>
      <c r="E816" t="s">
        <v>2790</v>
      </c>
      <c r="F816" t="str">
        <f>HYPERLINK("https://vsd.vn/vi/ad/140761","Link")</f>
        <v>Link</v>
      </c>
    </row>
    <row r="817" spans="1:6" x14ac:dyDescent="0.25">
      <c r="A817" s="2">
        <v>44294.661516203712</v>
      </c>
      <c r="B817" t="s">
        <v>814</v>
      </c>
      <c r="C817" t="s">
        <v>1883</v>
      </c>
      <c r="D817" t="s">
        <v>2337</v>
      </c>
      <c r="E817" t="s">
        <v>2846</v>
      </c>
      <c r="F817" t="str">
        <f>HYPERLINK("https://vsd.vn/vi/ad/140756","Link")</f>
        <v>Link</v>
      </c>
    </row>
    <row r="818" spans="1:6" x14ac:dyDescent="0.25">
      <c r="A818" s="2">
        <v>44294.451990740738</v>
      </c>
      <c r="B818" t="s">
        <v>815</v>
      </c>
      <c r="C818" t="s">
        <v>1494</v>
      </c>
      <c r="D818" t="s">
        <v>2339</v>
      </c>
      <c r="E818" t="s">
        <v>2847</v>
      </c>
      <c r="F818" t="str">
        <f>HYPERLINK("https://vsd.vn/vi/ad/140736","Link")</f>
        <v>Link</v>
      </c>
    </row>
    <row r="819" spans="1:6" x14ac:dyDescent="0.25">
      <c r="A819" s="2">
        <v>44293.676574074067</v>
      </c>
      <c r="B819" t="s">
        <v>816</v>
      </c>
      <c r="F819" t="str">
        <f>HYPERLINK("https://vsd.vn/vi/ad/140722","Link")</f>
        <v>Link</v>
      </c>
    </row>
    <row r="820" spans="1:6" x14ac:dyDescent="0.25">
      <c r="A820" s="2">
        <v>44293.667708333327</v>
      </c>
      <c r="B820" t="s">
        <v>817</v>
      </c>
      <c r="F820" t="str">
        <f>HYPERLINK("https://vsd.vn/vi/ad/140719","Link")</f>
        <v>Link</v>
      </c>
    </row>
    <row r="821" spans="1:6" x14ac:dyDescent="0.25">
      <c r="A821" s="2">
        <v>44292.38553240741</v>
      </c>
      <c r="B821" t="s">
        <v>818</v>
      </c>
      <c r="C821" t="s">
        <v>1884</v>
      </c>
      <c r="D821" t="s">
        <v>2340</v>
      </c>
      <c r="E821" t="s">
        <v>2848</v>
      </c>
      <c r="F821" t="str">
        <f>HYPERLINK("https://vsd.vn/vi/ad/140669","Link")</f>
        <v>Link</v>
      </c>
    </row>
    <row r="822" spans="1:6" x14ac:dyDescent="0.25">
      <c r="A822" s="2">
        <v>44291.682569444441</v>
      </c>
      <c r="B822" t="s">
        <v>819</v>
      </c>
      <c r="C822" t="s">
        <v>1885</v>
      </c>
      <c r="D822" t="s">
        <v>2332</v>
      </c>
      <c r="E822" t="s">
        <v>2709</v>
      </c>
      <c r="F822" t="str">
        <f>HYPERLINK("https://vsd.vn/vi/ad/140655","Link")</f>
        <v>Link</v>
      </c>
    </row>
    <row r="823" spans="1:6" x14ac:dyDescent="0.25">
      <c r="A823" s="2">
        <v>44291.656840277778</v>
      </c>
      <c r="B823" t="s">
        <v>820</v>
      </c>
      <c r="D823" t="s">
        <v>2341</v>
      </c>
      <c r="F823" t="str">
        <f>HYPERLINK("https://vsd.vn/vi/ad/140654","Link")</f>
        <v>Link</v>
      </c>
    </row>
    <row r="824" spans="1:6" x14ac:dyDescent="0.25">
      <c r="A824" s="2">
        <v>44288.703958333332</v>
      </c>
      <c r="B824" t="s">
        <v>821</v>
      </c>
      <c r="C824" t="s">
        <v>1886</v>
      </c>
      <c r="D824" t="s">
        <v>2342</v>
      </c>
      <c r="E824" t="s">
        <v>2849</v>
      </c>
      <c r="F824" t="str">
        <f>HYPERLINK("https://vsd.vn/vi/ad/140642","Link")</f>
        <v>Link</v>
      </c>
    </row>
    <row r="825" spans="1:6" x14ac:dyDescent="0.25">
      <c r="A825" s="2">
        <v>44288.660497685189</v>
      </c>
      <c r="B825" t="s">
        <v>822</v>
      </c>
      <c r="C825" t="s">
        <v>1467</v>
      </c>
      <c r="D825" t="s">
        <v>2340</v>
      </c>
      <c r="E825" t="s">
        <v>2850</v>
      </c>
      <c r="F825" t="str">
        <f>HYPERLINK("https://vsd.vn/vi/ad/140638","Link")</f>
        <v>Link</v>
      </c>
    </row>
    <row r="826" spans="1:6" x14ac:dyDescent="0.25">
      <c r="A826" s="2">
        <v>44288.644803240742</v>
      </c>
      <c r="B826" t="s">
        <v>823</v>
      </c>
      <c r="C826" t="s">
        <v>1500</v>
      </c>
      <c r="D826" t="s">
        <v>2343</v>
      </c>
      <c r="E826" t="s">
        <v>2851</v>
      </c>
      <c r="F826" t="str">
        <f>HYPERLINK("https://vsd.vn/vi/ad/140637","Link")</f>
        <v>Link</v>
      </c>
    </row>
    <row r="827" spans="1:6" x14ac:dyDescent="0.25">
      <c r="A827" s="2">
        <v>44288.642361111109</v>
      </c>
      <c r="B827" t="s">
        <v>824</v>
      </c>
      <c r="C827" t="s">
        <v>1494</v>
      </c>
      <c r="D827" t="s">
        <v>2339</v>
      </c>
      <c r="E827" t="s">
        <v>2852</v>
      </c>
      <c r="F827" t="str">
        <f>HYPERLINK("https://vsd.vn/vi/ad/140633","Link")</f>
        <v>Link</v>
      </c>
    </row>
    <row r="828" spans="1:6" x14ac:dyDescent="0.25">
      <c r="A828" s="2">
        <v>44288.445833333331</v>
      </c>
      <c r="B828" t="s">
        <v>825</v>
      </c>
      <c r="F828" t="str">
        <f>HYPERLINK("https://vsd.vn/vi/ad/140611","Link")</f>
        <v>Link</v>
      </c>
    </row>
    <row r="829" spans="1:6" x14ac:dyDescent="0.25">
      <c r="A829" s="2">
        <v>44287.701597222222</v>
      </c>
      <c r="B829" t="s">
        <v>826</v>
      </c>
      <c r="C829" t="s">
        <v>1468</v>
      </c>
      <c r="D829" t="s">
        <v>2337</v>
      </c>
      <c r="E829" t="s">
        <v>2853</v>
      </c>
      <c r="F829" t="str">
        <f>HYPERLINK("https://vsd.vn/vi/ad/140577","Link")</f>
        <v>Link</v>
      </c>
    </row>
    <row r="830" spans="1:6" x14ac:dyDescent="0.25">
      <c r="A830" s="2">
        <v>44287.6953125</v>
      </c>
      <c r="B830" t="s">
        <v>827</v>
      </c>
      <c r="C830" t="s">
        <v>1887</v>
      </c>
      <c r="D830" t="s">
        <v>2340</v>
      </c>
      <c r="E830" t="s">
        <v>2847</v>
      </c>
      <c r="F830" t="str">
        <f>HYPERLINK("https://vsd.vn/vi/ad/140595","Link")</f>
        <v>Link</v>
      </c>
    </row>
    <row r="831" spans="1:6" x14ac:dyDescent="0.25">
      <c r="A831" s="2">
        <v>44286.670891203707</v>
      </c>
      <c r="B831" t="s">
        <v>828</v>
      </c>
      <c r="C831" t="s">
        <v>1888</v>
      </c>
      <c r="D831" t="s">
        <v>2343</v>
      </c>
      <c r="E831" t="s">
        <v>2854</v>
      </c>
      <c r="F831" t="str">
        <f>HYPERLINK("https://vsd.vn/vi/ad/140557","Link")</f>
        <v>Link</v>
      </c>
    </row>
    <row r="832" spans="1:6" x14ac:dyDescent="0.25">
      <c r="A832" s="2">
        <v>44286.592511574083</v>
      </c>
      <c r="B832" t="s">
        <v>829</v>
      </c>
      <c r="C832" t="s">
        <v>1717</v>
      </c>
      <c r="D832" t="s">
        <v>2341</v>
      </c>
      <c r="E832" t="s">
        <v>2847</v>
      </c>
      <c r="F832" t="str">
        <f>HYPERLINK("https://vsd.vn/vi/ad/140548","Link")</f>
        <v>Link</v>
      </c>
    </row>
    <row r="833" spans="1:6" x14ac:dyDescent="0.25">
      <c r="A833" s="2">
        <v>44286.411944444437</v>
      </c>
      <c r="B833" t="s">
        <v>830</v>
      </c>
      <c r="C833" t="s">
        <v>1477</v>
      </c>
      <c r="D833" t="s">
        <v>2339</v>
      </c>
      <c r="E833" t="s">
        <v>2855</v>
      </c>
      <c r="F833" t="str">
        <f>HYPERLINK("https://vsd.vn/vi/ad/140538","Link")</f>
        <v>Link</v>
      </c>
    </row>
    <row r="834" spans="1:6" x14ac:dyDescent="0.25">
      <c r="A834" s="2">
        <v>44285.378842592603</v>
      </c>
      <c r="B834" t="s">
        <v>831</v>
      </c>
      <c r="C834" t="s">
        <v>1571</v>
      </c>
      <c r="D834" t="s">
        <v>2344</v>
      </c>
      <c r="E834" t="s">
        <v>2856</v>
      </c>
      <c r="F834" t="str">
        <f>HYPERLINK("https://vsd.vn/vi/ad/140499","Link")</f>
        <v>Link</v>
      </c>
    </row>
    <row r="835" spans="1:6" x14ac:dyDescent="0.25">
      <c r="A835" s="2">
        <v>44284.699363425927</v>
      </c>
      <c r="B835" t="s">
        <v>832</v>
      </c>
      <c r="E835" t="s">
        <v>2857</v>
      </c>
      <c r="F835" t="str">
        <f>HYPERLINK("https://vsd.vn/vi/ad/140497","Link")</f>
        <v>Link</v>
      </c>
    </row>
    <row r="836" spans="1:6" x14ac:dyDescent="0.25">
      <c r="A836" s="2">
        <v>44281.586689814823</v>
      </c>
      <c r="B836" t="s">
        <v>833</v>
      </c>
      <c r="C836" t="s">
        <v>1889</v>
      </c>
      <c r="D836" t="s">
        <v>2345</v>
      </c>
      <c r="E836" t="s">
        <v>2858</v>
      </c>
      <c r="F836" t="str">
        <f>HYPERLINK("https://vsd.vn/vi/ad/140455","Link")</f>
        <v>Link</v>
      </c>
    </row>
    <row r="837" spans="1:6" x14ac:dyDescent="0.25">
      <c r="A837" s="2">
        <v>44280.707685185182</v>
      </c>
      <c r="B837" t="s">
        <v>834</v>
      </c>
      <c r="F837" t="str">
        <f>HYPERLINK("https://vsd.vn/vi/ad/140434","Link")</f>
        <v>Link</v>
      </c>
    </row>
    <row r="838" spans="1:6" x14ac:dyDescent="0.25">
      <c r="A838" s="2">
        <v>44280.472430555557</v>
      </c>
      <c r="B838" t="s">
        <v>835</v>
      </c>
      <c r="F838" t="str">
        <f>HYPERLINK("https://vsd.vn/vi/ad/140423","Link")</f>
        <v>Link</v>
      </c>
    </row>
    <row r="839" spans="1:6" x14ac:dyDescent="0.25">
      <c r="A839" s="2">
        <v>44279.713020833333</v>
      </c>
      <c r="B839" t="s">
        <v>836</v>
      </c>
      <c r="C839" t="s">
        <v>1890</v>
      </c>
      <c r="D839" t="s">
        <v>2346</v>
      </c>
      <c r="F839" t="str">
        <f>HYPERLINK("https://vsd.vn/vi/ad/140397","Link")</f>
        <v>Link</v>
      </c>
    </row>
    <row r="840" spans="1:6" x14ac:dyDescent="0.25">
      <c r="A840" s="2">
        <v>44279.601724537039</v>
      </c>
      <c r="B840" t="s">
        <v>837</v>
      </c>
      <c r="C840" t="s">
        <v>1479</v>
      </c>
      <c r="D840" t="s">
        <v>2337</v>
      </c>
      <c r="E840" t="s">
        <v>2859</v>
      </c>
      <c r="F840" t="str">
        <f>HYPERLINK("https://vsd.vn/vi/ad/140395","Link")</f>
        <v>Link</v>
      </c>
    </row>
    <row r="841" spans="1:6" x14ac:dyDescent="0.25">
      <c r="A841" s="2">
        <v>44279.411041666674</v>
      </c>
      <c r="B841" t="s">
        <v>838</v>
      </c>
      <c r="C841" t="s">
        <v>1891</v>
      </c>
      <c r="D841" t="s">
        <v>2345</v>
      </c>
      <c r="E841" t="s">
        <v>2860</v>
      </c>
      <c r="F841" t="str">
        <f>HYPERLINK("https://vsd.vn/vi/ad/140377","Link")</f>
        <v>Link</v>
      </c>
    </row>
    <row r="842" spans="1:6" x14ac:dyDescent="0.25">
      <c r="A842" s="2">
        <v>44278.574374999997</v>
      </c>
      <c r="B842" t="s">
        <v>839</v>
      </c>
      <c r="C842" t="s">
        <v>1892</v>
      </c>
      <c r="D842" t="s">
        <v>2347</v>
      </c>
      <c r="E842" t="s">
        <v>2861</v>
      </c>
      <c r="F842" t="str">
        <f>HYPERLINK("https://vsd.vn/vi/ad/140351","Link")</f>
        <v>Link</v>
      </c>
    </row>
    <row r="843" spans="1:6" x14ac:dyDescent="0.25">
      <c r="A843" s="2">
        <v>44278.422939814824</v>
      </c>
      <c r="B843" t="s">
        <v>840</v>
      </c>
      <c r="F843" t="str">
        <f>HYPERLINK("https://vsd.vn/vi/ad/140346","Link")</f>
        <v>Link</v>
      </c>
    </row>
    <row r="844" spans="1:6" x14ac:dyDescent="0.25">
      <c r="A844" s="2">
        <v>44277.685474537036</v>
      </c>
      <c r="B844" t="s">
        <v>841</v>
      </c>
      <c r="C844" t="s">
        <v>1893</v>
      </c>
      <c r="D844" t="s">
        <v>2348</v>
      </c>
      <c r="F844" t="str">
        <f>HYPERLINK("https://vsd.vn/vi/ad/140313","Link")</f>
        <v>Link</v>
      </c>
    </row>
    <row r="845" spans="1:6" x14ac:dyDescent="0.25">
      <c r="A845" s="2">
        <v>44274.741284722222</v>
      </c>
      <c r="B845" t="s">
        <v>842</v>
      </c>
      <c r="F845" t="str">
        <f>HYPERLINK("https://vsd.vn/vi/ad/140279","Link")</f>
        <v>Link</v>
      </c>
    </row>
    <row r="846" spans="1:6" x14ac:dyDescent="0.25">
      <c r="A846" s="2">
        <v>44274.738796296297</v>
      </c>
      <c r="B846" t="s">
        <v>843</v>
      </c>
      <c r="F846" t="str">
        <f>HYPERLINK("https://vsd.vn/vi/ad/140270","Link")</f>
        <v>Link</v>
      </c>
    </row>
    <row r="847" spans="1:6" x14ac:dyDescent="0.25">
      <c r="A847" s="2">
        <v>44274.450266203698</v>
      </c>
      <c r="B847" t="s">
        <v>844</v>
      </c>
      <c r="F847" t="str">
        <f>HYPERLINK("https://vsd.vn/vi/ad/140237","Link")</f>
        <v>Link</v>
      </c>
    </row>
    <row r="848" spans="1:6" x14ac:dyDescent="0.25">
      <c r="A848" s="2">
        <v>44274.449837962973</v>
      </c>
      <c r="B848" t="s">
        <v>845</v>
      </c>
      <c r="F848" t="str">
        <f>HYPERLINK("https://vsd.vn/vi/ad/140238","Link")</f>
        <v>Link</v>
      </c>
    </row>
    <row r="849" spans="1:6" x14ac:dyDescent="0.25">
      <c r="A849" s="2">
        <v>44274.448518518519</v>
      </c>
      <c r="B849" t="s">
        <v>846</v>
      </c>
      <c r="F849" t="str">
        <f>HYPERLINK("https://vsd.vn/vi/ad/140230","Link")</f>
        <v>Link</v>
      </c>
    </row>
    <row r="850" spans="1:6" x14ac:dyDescent="0.25">
      <c r="A850" s="2">
        <v>44273.696458333332</v>
      </c>
      <c r="B850" t="s">
        <v>847</v>
      </c>
      <c r="C850" t="s">
        <v>1894</v>
      </c>
      <c r="D850" t="s">
        <v>2338</v>
      </c>
      <c r="E850" t="s">
        <v>2862</v>
      </c>
      <c r="F850" t="str">
        <f>HYPERLINK("https://vsd.vn/vi/ad/140197","Link")</f>
        <v>Link</v>
      </c>
    </row>
    <row r="851" spans="1:6" x14ac:dyDescent="0.25">
      <c r="A851" s="2">
        <v>44273.695567129631</v>
      </c>
      <c r="B851" t="s">
        <v>848</v>
      </c>
      <c r="C851" t="s">
        <v>1895</v>
      </c>
      <c r="D851" t="s">
        <v>2349</v>
      </c>
      <c r="E851" t="s">
        <v>2863</v>
      </c>
      <c r="F851" t="str">
        <f>HYPERLINK("https://vsd.vn/vi/ad/140145","Link")</f>
        <v>Link</v>
      </c>
    </row>
    <row r="852" spans="1:6" x14ac:dyDescent="0.25">
      <c r="A852" s="2">
        <v>44273.694710648153</v>
      </c>
      <c r="B852" t="s">
        <v>849</v>
      </c>
      <c r="C852" t="s">
        <v>1896</v>
      </c>
      <c r="D852" t="s">
        <v>2350</v>
      </c>
      <c r="E852" t="s">
        <v>2864</v>
      </c>
      <c r="F852" t="str">
        <f>HYPERLINK("https://vsd.vn/vi/ad/140178","Link")</f>
        <v>Link</v>
      </c>
    </row>
    <row r="853" spans="1:6" x14ac:dyDescent="0.25">
      <c r="A853" s="2">
        <v>44272.713148148148</v>
      </c>
      <c r="B853" t="s">
        <v>850</v>
      </c>
      <c r="F853" t="str">
        <f>HYPERLINK("https://vsd.vn/vi/ad/140166","Link")</f>
        <v>Link</v>
      </c>
    </row>
    <row r="854" spans="1:6" x14ac:dyDescent="0.25">
      <c r="A854" s="2">
        <v>44272.679872685178</v>
      </c>
      <c r="B854" t="s">
        <v>851</v>
      </c>
      <c r="C854" t="s">
        <v>1897</v>
      </c>
      <c r="D854" t="s">
        <v>2351</v>
      </c>
      <c r="E854" t="s">
        <v>2865</v>
      </c>
      <c r="F854" t="str">
        <f>HYPERLINK("https://vsd.vn/vi/ad/140163","Link")</f>
        <v>Link</v>
      </c>
    </row>
    <row r="855" spans="1:6" x14ac:dyDescent="0.25">
      <c r="A855" s="2">
        <v>44272.648877314823</v>
      </c>
      <c r="B855" t="s">
        <v>852</v>
      </c>
      <c r="C855" t="s">
        <v>1898</v>
      </c>
      <c r="D855" t="s">
        <v>2349</v>
      </c>
      <c r="E855" t="s">
        <v>2866</v>
      </c>
      <c r="F855" t="str">
        <f>HYPERLINK("https://vsd.vn/vi/ad/140152","Link")</f>
        <v>Link</v>
      </c>
    </row>
    <row r="856" spans="1:6" x14ac:dyDescent="0.25">
      <c r="A856" s="2">
        <v>44272.483969907407</v>
      </c>
      <c r="B856" t="s">
        <v>853</v>
      </c>
      <c r="F856" t="str">
        <f>HYPERLINK("https://vsd.vn/vi/ad/140137","Link")</f>
        <v>Link</v>
      </c>
    </row>
    <row r="857" spans="1:6" x14ac:dyDescent="0.25">
      <c r="A857" s="2">
        <v>44271.70045138889</v>
      </c>
      <c r="B857" t="s">
        <v>854</v>
      </c>
      <c r="C857" t="s">
        <v>1899</v>
      </c>
      <c r="D857" t="s">
        <v>2348</v>
      </c>
      <c r="E857" t="s">
        <v>2867</v>
      </c>
      <c r="F857" t="str">
        <f>HYPERLINK("https://vsd.vn/vi/ad/140102","Link")</f>
        <v>Link</v>
      </c>
    </row>
    <row r="858" spans="1:6" x14ac:dyDescent="0.25">
      <c r="A858" s="2">
        <v>44271.405104166668</v>
      </c>
      <c r="B858" t="s">
        <v>855</v>
      </c>
      <c r="C858" t="s">
        <v>1900</v>
      </c>
      <c r="D858" t="s">
        <v>2348</v>
      </c>
      <c r="E858" t="s">
        <v>2868</v>
      </c>
      <c r="F858" t="str">
        <f>HYPERLINK("https://vsd.vn/vi/ad/140042","Link")</f>
        <v>Link</v>
      </c>
    </row>
    <row r="859" spans="1:6" x14ac:dyDescent="0.25">
      <c r="A859" s="2">
        <v>44271.379849537043</v>
      </c>
      <c r="B859" t="s">
        <v>856</v>
      </c>
      <c r="C859" t="s">
        <v>1901</v>
      </c>
      <c r="D859" t="s">
        <v>2352</v>
      </c>
      <c r="F859" t="str">
        <f>HYPERLINK("https://vsd.vn/vi/ad/140038","Link")</f>
        <v>Link</v>
      </c>
    </row>
    <row r="860" spans="1:6" x14ac:dyDescent="0.25">
      <c r="A860" s="2">
        <v>44270.646168981482</v>
      </c>
      <c r="B860" t="s">
        <v>857</v>
      </c>
      <c r="C860" t="s">
        <v>1902</v>
      </c>
      <c r="D860" t="s">
        <v>2353</v>
      </c>
      <c r="E860" t="s">
        <v>2869</v>
      </c>
      <c r="F860" t="str">
        <f>HYPERLINK("https://vsd.vn/vi/ad/140002","Link")</f>
        <v>Link</v>
      </c>
    </row>
    <row r="861" spans="1:6" x14ac:dyDescent="0.25">
      <c r="A861" s="2">
        <v>44267.746111111112</v>
      </c>
      <c r="B861" t="s">
        <v>858</v>
      </c>
      <c r="C861" t="s">
        <v>1778</v>
      </c>
      <c r="D861" t="s">
        <v>2354</v>
      </c>
      <c r="E861" t="s">
        <v>2870</v>
      </c>
      <c r="F861" t="str">
        <f>HYPERLINK("https://vsd.vn/vi/ad/139980","Link")</f>
        <v>Link</v>
      </c>
    </row>
    <row r="862" spans="1:6" x14ac:dyDescent="0.25">
      <c r="A862" s="2">
        <v>44267.680173611108</v>
      </c>
      <c r="B862" t="s">
        <v>859</v>
      </c>
      <c r="C862" t="s">
        <v>1903</v>
      </c>
      <c r="D862" t="s">
        <v>2348</v>
      </c>
      <c r="E862" t="s">
        <v>2871</v>
      </c>
      <c r="F862" t="str">
        <f>HYPERLINK("https://vsd.vn/vi/ad/139950","Link")</f>
        <v>Link</v>
      </c>
    </row>
    <row r="863" spans="1:6" x14ac:dyDescent="0.25">
      <c r="A863" s="2">
        <v>44267.652870370373</v>
      </c>
      <c r="B863" t="s">
        <v>860</v>
      </c>
      <c r="C863" t="s">
        <v>1904</v>
      </c>
      <c r="D863" t="s">
        <v>2346</v>
      </c>
      <c r="E863" t="s">
        <v>2872</v>
      </c>
      <c r="F863" t="str">
        <f>HYPERLINK("https://vsd.vn/vi/ad/139899","Link")</f>
        <v>Link</v>
      </c>
    </row>
    <row r="864" spans="1:6" x14ac:dyDescent="0.25">
      <c r="A864" s="2">
        <v>44266.683263888888</v>
      </c>
      <c r="B864" t="s">
        <v>861</v>
      </c>
      <c r="C864" t="s">
        <v>1477</v>
      </c>
      <c r="D864" t="s">
        <v>2352</v>
      </c>
      <c r="E864" t="s">
        <v>2873</v>
      </c>
      <c r="F864" t="str">
        <f>HYPERLINK("https://vsd.vn/vi/ad/139853","Link")</f>
        <v>Link</v>
      </c>
    </row>
    <row r="865" spans="1:6" x14ac:dyDescent="0.25">
      <c r="A865" s="2">
        <v>44266.682685185187</v>
      </c>
      <c r="B865" t="s">
        <v>862</v>
      </c>
      <c r="C865" t="s">
        <v>1905</v>
      </c>
      <c r="D865" t="s">
        <v>2355</v>
      </c>
      <c r="E865" t="s">
        <v>2874</v>
      </c>
      <c r="F865" t="str">
        <f>HYPERLINK("https://vsd.vn/vi/ad/139852","Link")</f>
        <v>Link</v>
      </c>
    </row>
    <row r="866" spans="1:6" x14ac:dyDescent="0.25">
      <c r="A866" s="2">
        <v>44266.681493055563</v>
      </c>
      <c r="B866" t="s">
        <v>863</v>
      </c>
      <c r="C866" t="s">
        <v>1906</v>
      </c>
      <c r="D866" t="s">
        <v>2353</v>
      </c>
      <c r="E866" t="s">
        <v>2875</v>
      </c>
      <c r="F866" t="str">
        <f>HYPERLINK("https://vsd.vn/vi/ad/139849","Link")</f>
        <v>Link</v>
      </c>
    </row>
    <row r="867" spans="1:6" x14ac:dyDescent="0.25">
      <c r="A867" s="2">
        <v>44266.59003472222</v>
      </c>
      <c r="B867" t="s">
        <v>864</v>
      </c>
      <c r="E867" t="s">
        <v>2876</v>
      </c>
      <c r="F867" t="str">
        <f>HYPERLINK("https://vsd.vn/vi/ad/139824","Link")</f>
        <v>Link</v>
      </c>
    </row>
    <row r="868" spans="1:6" x14ac:dyDescent="0.25">
      <c r="A868" s="2">
        <v>44266.377604166657</v>
      </c>
      <c r="B868" t="s">
        <v>865</v>
      </c>
      <c r="C868" t="s">
        <v>1506</v>
      </c>
      <c r="D868" t="s">
        <v>2356</v>
      </c>
      <c r="E868" t="s">
        <v>2877</v>
      </c>
      <c r="F868" t="str">
        <f>HYPERLINK("https://vsd.vn/vi/ad/139795","Link")</f>
        <v>Link</v>
      </c>
    </row>
    <row r="869" spans="1:6" x14ac:dyDescent="0.25">
      <c r="A869" s="2">
        <v>44265.692372685182</v>
      </c>
      <c r="B869" t="s">
        <v>282</v>
      </c>
      <c r="C869" t="s">
        <v>1616</v>
      </c>
      <c r="D869" t="s">
        <v>2357</v>
      </c>
      <c r="F869" t="str">
        <f>HYPERLINK("https://vsd.vn/vi/ad/139768","Link")</f>
        <v>Link</v>
      </c>
    </row>
    <row r="870" spans="1:6" x14ac:dyDescent="0.25">
      <c r="A870" s="2">
        <v>44265.636192129627</v>
      </c>
      <c r="B870" t="s">
        <v>866</v>
      </c>
      <c r="C870" t="s">
        <v>1907</v>
      </c>
      <c r="D870" t="s">
        <v>2355</v>
      </c>
      <c r="E870" t="s">
        <v>2878</v>
      </c>
      <c r="F870" t="str">
        <f>HYPERLINK("https://vsd.vn/vi/ad/139746","Link")</f>
        <v>Link</v>
      </c>
    </row>
    <row r="871" spans="1:6" x14ac:dyDescent="0.25">
      <c r="A871" s="2">
        <v>44265.614872685182</v>
      </c>
      <c r="B871" t="s">
        <v>867</v>
      </c>
      <c r="C871" t="s">
        <v>1467</v>
      </c>
      <c r="D871" t="s">
        <v>2358</v>
      </c>
      <c r="E871" t="s">
        <v>2879</v>
      </c>
      <c r="F871" t="str">
        <f>HYPERLINK("https://vsd.vn/vi/ad/139725","Link")</f>
        <v>Link</v>
      </c>
    </row>
    <row r="872" spans="1:6" x14ac:dyDescent="0.25">
      <c r="A872" s="2">
        <v>44265.611550925933</v>
      </c>
      <c r="B872" t="s">
        <v>868</v>
      </c>
      <c r="C872" t="s">
        <v>1908</v>
      </c>
      <c r="D872" t="s">
        <v>2348</v>
      </c>
      <c r="E872" t="s">
        <v>2880</v>
      </c>
      <c r="F872" t="str">
        <f>HYPERLINK("https://vsd.vn/vi/ad/139729","Link")</f>
        <v>Link</v>
      </c>
    </row>
    <row r="873" spans="1:6" x14ac:dyDescent="0.25">
      <c r="A873" s="2">
        <v>44265.609791666669</v>
      </c>
      <c r="B873" t="s">
        <v>869</v>
      </c>
      <c r="C873" t="s">
        <v>1467</v>
      </c>
      <c r="D873" t="s">
        <v>2351</v>
      </c>
      <c r="E873" t="s">
        <v>2881</v>
      </c>
      <c r="F873" t="str">
        <f>HYPERLINK("https://vsd.vn/vi/ad/139733","Link")</f>
        <v>Link</v>
      </c>
    </row>
    <row r="874" spans="1:6" x14ac:dyDescent="0.25">
      <c r="A874" s="2">
        <v>44265.588101851848</v>
      </c>
      <c r="B874" t="s">
        <v>870</v>
      </c>
      <c r="C874" t="s">
        <v>1909</v>
      </c>
      <c r="D874" t="s">
        <v>2355</v>
      </c>
      <c r="E874" t="s">
        <v>2882</v>
      </c>
      <c r="F874" t="str">
        <f>HYPERLINK("https://vsd.vn/vi/ad/139715","Link")</f>
        <v>Link</v>
      </c>
    </row>
    <row r="875" spans="1:6" x14ac:dyDescent="0.25">
      <c r="A875" s="2">
        <v>44265.585555555554</v>
      </c>
      <c r="B875" t="s">
        <v>871</v>
      </c>
      <c r="C875" t="s">
        <v>1910</v>
      </c>
      <c r="D875" t="s">
        <v>2346</v>
      </c>
      <c r="E875" t="s">
        <v>2883</v>
      </c>
      <c r="F875" t="str">
        <f>HYPERLINK("https://vsd.vn/vi/ad/139718","Link")</f>
        <v>Link</v>
      </c>
    </row>
    <row r="876" spans="1:6" x14ac:dyDescent="0.25">
      <c r="A876" s="2">
        <v>44265.451956018522</v>
      </c>
      <c r="B876" t="s">
        <v>872</v>
      </c>
      <c r="C876" t="s">
        <v>1911</v>
      </c>
      <c r="D876" t="s">
        <v>2352</v>
      </c>
      <c r="E876" t="s">
        <v>2884</v>
      </c>
      <c r="F876" t="str">
        <f>HYPERLINK("https://vsd.vn/vi/ad/139696","Link")</f>
        <v>Link</v>
      </c>
    </row>
    <row r="877" spans="1:6" x14ac:dyDescent="0.25">
      <c r="A877" s="2">
        <v>44265.371145833327</v>
      </c>
      <c r="B877" t="s">
        <v>873</v>
      </c>
      <c r="C877" t="s">
        <v>1912</v>
      </c>
      <c r="D877" t="s">
        <v>2351</v>
      </c>
      <c r="E877" t="s">
        <v>2885</v>
      </c>
      <c r="F877" t="str">
        <f>HYPERLINK("https://vsd.vn/vi/ad/139680","Link")</f>
        <v>Link</v>
      </c>
    </row>
    <row r="878" spans="1:6" x14ac:dyDescent="0.25">
      <c r="A878" s="2">
        <v>44264.372499999998</v>
      </c>
      <c r="B878" t="s">
        <v>874</v>
      </c>
      <c r="C878" t="s">
        <v>1472</v>
      </c>
      <c r="D878" t="s">
        <v>2358</v>
      </c>
      <c r="E878" t="s">
        <v>2886</v>
      </c>
      <c r="F878" t="str">
        <f>HYPERLINK("https://vsd.vn/vi/ad/139599","Link")</f>
        <v>Link</v>
      </c>
    </row>
    <row r="879" spans="1:6" x14ac:dyDescent="0.25">
      <c r="A879" s="2">
        <v>44264.360659722217</v>
      </c>
      <c r="B879" t="s">
        <v>875</v>
      </c>
      <c r="C879" t="s">
        <v>1913</v>
      </c>
      <c r="D879" t="s">
        <v>2352</v>
      </c>
      <c r="E879" t="s">
        <v>2887</v>
      </c>
      <c r="F879" t="str">
        <f>HYPERLINK("https://vsd.vn/vi/ad/139593","Link")</f>
        <v>Link</v>
      </c>
    </row>
    <row r="880" spans="1:6" x14ac:dyDescent="0.25">
      <c r="A880" s="2">
        <v>44264.333587962959</v>
      </c>
      <c r="B880" t="s">
        <v>876</v>
      </c>
      <c r="C880" t="s">
        <v>1914</v>
      </c>
      <c r="D880" t="s">
        <v>2359</v>
      </c>
      <c r="E880" t="s">
        <v>2888</v>
      </c>
      <c r="F880" t="str">
        <f>HYPERLINK("https://vsd.vn/vi/ad/139584","Link")</f>
        <v>Link</v>
      </c>
    </row>
    <row r="881" spans="1:6" x14ac:dyDescent="0.25">
      <c r="A881" s="2">
        <v>44264.331365740742</v>
      </c>
      <c r="B881" t="s">
        <v>877</v>
      </c>
      <c r="C881" t="s">
        <v>1915</v>
      </c>
      <c r="D881" t="s">
        <v>2351</v>
      </c>
      <c r="E881" t="s">
        <v>2889</v>
      </c>
      <c r="F881" t="str">
        <f>HYPERLINK("https://vsd.vn/vi/ad/139579","Link")</f>
        <v>Link</v>
      </c>
    </row>
    <row r="882" spans="1:6" x14ac:dyDescent="0.25">
      <c r="A882" s="2">
        <v>44264.329976851863</v>
      </c>
      <c r="B882" t="s">
        <v>878</v>
      </c>
      <c r="C882" t="s">
        <v>1916</v>
      </c>
      <c r="D882" t="s">
        <v>2354</v>
      </c>
      <c r="E882" t="s">
        <v>2890</v>
      </c>
      <c r="F882" t="str">
        <f>HYPERLINK("https://vsd.vn/vi/ad/139576","Link")</f>
        <v>Link</v>
      </c>
    </row>
    <row r="883" spans="1:6" x14ac:dyDescent="0.25">
      <c r="A883" s="2">
        <v>44260.72724537037</v>
      </c>
      <c r="B883" t="s">
        <v>879</v>
      </c>
      <c r="C883" t="s">
        <v>1917</v>
      </c>
      <c r="D883" t="s">
        <v>2352</v>
      </c>
      <c r="E883" t="s">
        <v>2891</v>
      </c>
      <c r="F883" t="str">
        <f>HYPERLINK("https://vsd.vn/vi/ad/139527","Link")</f>
        <v>Link</v>
      </c>
    </row>
    <row r="884" spans="1:6" x14ac:dyDescent="0.25">
      <c r="A884" s="2">
        <v>44260.720868055563</v>
      </c>
      <c r="B884" t="s">
        <v>880</v>
      </c>
      <c r="C884" t="s">
        <v>1918</v>
      </c>
      <c r="D884" t="s">
        <v>2356</v>
      </c>
      <c r="E884" t="s">
        <v>2892</v>
      </c>
      <c r="F884" t="str">
        <f>HYPERLINK("https://vsd.vn/vi/ad/139462","Link")</f>
        <v>Link</v>
      </c>
    </row>
    <row r="885" spans="1:6" x14ac:dyDescent="0.25">
      <c r="A885" s="2">
        <v>44260.629687499997</v>
      </c>
      <c r="B885" t="s">
        <v>881</v>
      </c>
      <c r="C885" t="s">
        <v>1919</v>
      </c>
      <c r="D885" t="s">
        <v>2355</v>
      </c>
      <c r="E885" t="s">
        <v>2893</v>
      </c>
      <c r="F885" t="str">
        <f>HYPERLINK("https://vsd.vn/vi/ad/139490","Link")</f>
        <v>Link</v>
      </c>
    </row>
    <row r="886" spans="1:6" x14ac:dyDescent="0.25">
      <c r="A886" s="2">
        <v>44260.628229166658</v>
      </c>
      <c r="B886" t="s">
        <v>882</v>
      </c>
      <c r="C886" t="s">
        <v>1920</v>
      </c>
      <c r="D886" t="s">
        <v>2352</v>
      </c>
      <c r="E886" t="s">
        <v>2894</v>
      </c>
      <c r="F886" t="str">
        <f>HYPERLINK("https://vsd.vn/vi/ad/139489","Link")</f>
        <v>Link</v>
      </c>
    </row>
    <row r="887" spans="1:6" x14ac:dyDescent="0.25">
      <c r="A887" s="2">
        <v>44260.486516203702</v>
      </c>
      <c r="B887" t="s">
        <v>883</v>
      </c>
      <c r="C887" t="s">
        <v>1911</v>
      </c>
      <c r="D887" t="s">
        <v>2352</v>
      </c>
      <c r="E887" t="s">
        <v>2895</v>
      </c>
      <c r="F887" t="str">
        <f>HYPERLINK("https://vsd.vn/vi/ad/139423","Link")</f>
        <v>Link</v>
      </c>
    </row>
    <row r="888" spans="1:6" x14ac:dyDescent="0.25">
      <c r="A888" s="2">
        <v>44260.47929398148</v>
      </c>
      <c r="B888" t="s">
        <v>884</v>
      </c>
      <c r="C888" t="s">
        <v>1921</v>
      </c>
      <c r="D888" t="s">
        <v>2360</v>
      </c>
      <c r="E888" t="s">
        <v>2896</v>
      </c>
      <c r="F888" t="str">
        <f>HYPERLINK("https://vsd.vn/vi/ad/139465","Link")</f>
        <v>Link</v>
      </c>
    </row>
    <row r="889" spans="1:6" x14ac:dyDescent="0.25">
      <c r="A889" s="2">
        <v>44260.436203703714</v>
      </c>
      <c r="B889" t="s">
        <v>885</v>
      </c>
      <c r="C889" t="s">
        <v>1922</v>
      </c>
      <c r="D889" t="s">
        <v>2359</v>
      </c>
      <c r="E889" t="s">
        <v>2897</v>
      </c>
      <c r="F889" t="str">
        <f>HYPERLINK("https://vsd.vn/vi/ad/139453","Link")</f>
        <v>Link</v>
      </c>
    </row>
    <row r="890" spans="1:6" x14ac:dyDescent="0.25">
      <c r="A890" s="2">
        <v>44259.693495370368</v>
      </c>
      <c r="B890" t="s">
        <v>886</v>
      </c>
      <c r="C890" t="s">
        <v>1923</v>
      </c>
      <c r="D890" t="s">
        <v>2352</v>
      </c>
      <c r="E890" t="s">
        <v>2898</v>
      </c>
      <c r="F890" t="str">
        <f>HYPERLINK("https://vsd.vn/vi/ad/139419","Link")</f>
        <v>Link</v>
      </c>
    </row>
    <row r="891" spans="1:6" x14ac:dyDescent="0.25">
      <c r="A891" s="2">
        <v>44259.606678240743</v>
      </c>
      <c r="B891" t="s">
        <v>887</v>
      </c>
      <c r="C891" t="s">
        <v>1924</v>
      </c>
      <c r="D891" t="s">
        <v>2357</v>
      </c>
      <c r="E891" t="s">
        <v>2899</v>
      </c>
      <c r="F891" t="str">
        <f>HYPERLINK("https://vsd.vn/vi/ad/139405","Link")</f>
        <v>Link</v>
      </c>
    </row>
    <row r="892" spans="1:6" x14ac:dyDescent="0.25">
      <c r="A892" s="2">
        <v>44259.486342592587</v>
      </c>
      <c r="B892" t="s">
        <v>888</v>
      </c>
      <c r="C892" t="s">
        <v>1652</v>
      </c>
      <c r="D892" t="s">
        <v>2360</v>
      </c>
      <c r="E892" t="s">
        <v>2900</v>
      </c>
      <c r="F892" t="str">
        <f>HYPERLINK("https://vsd.vn/vi/ad/139385","Link")</f>
        <v>Link</v>
      </c>
    </row>
    <row r="893" spans="1:6" x14ac:dyDescent="0.25">
      <c r="A893" s="2">
        <v>44259.483020833337</v>
      </c>
      <c r="B893" t="s">
        <v>889</v>
      </c>
      <c r="C893" t="s">
        <v>1925</v>
      </c>
      <c r="D893" t="s">
        <v>2357</v>
      </c>
      <c r="E893" t="s">
        <v>2901</v>
      </c>
      <c r="F893" t="str">
        <f>HYPERLINK("https://vsd.vn/vi/ad/139380","Link")</f>
        <v>Link</v>
      </c>
    </row>
    <row r="894" spans="1:6" x14ac:dyDescent="0.25">
      <c r="A894" s="2">
        <v>44259.385567129633</v>
      </c>
      <c r="B894" t="s">
        <v>890</v>
      </c>
      <c r="C894" t="s">
        <v>1926</v>
      </c>
      <c r="D894" t="s">
        <v>2357</v>
      </c>
      <c r="E894" t="s">
        <v>2902</v>
      </c>
      <c r="F894" t="str">
        <f>HYPERLINK("https://vsd.vn/vi/ad/139375","Link")</f>
        <v>Link</v>
      </c>
    </row>
    <row r="895" spans="1:6" x14ac:dyDescent="0.25">
      <c r="A895" s="2">
        <v>44259.384131944447</v>
      </c>
      <c r="B895" t="s">
        <v>891</v>
      </c>
      <c r="C895" t="s">
        <v>1927</v>
      </c>
      <c r="D895" t="s">
        <v>2356</v>
      </c>
      <c r="E895" t="s">
        <v>2903</v>
      </c>
      <c r="F895" t="str">
        <f>HYPERLINK("https://vsd.vn/vi/ad/139373","Link")</f>
        <v>Link</v>
      </c>
    </row>
    <row r="896" spans="1:6" x14ac:dyDescent="0.25">
      <c r="A896" s="2">
        <v>44259.36078703704</v>
      </c>
      <c r="B896" t="s">
        <v>892</v>
      </c>
      <c r="C896" t="s">
        <v>1692</v>
      </c>
      <c r="D896" t="s">
        <v>2361</v>
      </c>
      <c r="E896" t="s">
        <v>2904</v>
      </c>
      <c r="F896" t="str">
        <f>HYPERLINK("https://vsd.vn/vi/ad/139361","Link")</f>
        <v>Link</v>
      </c>
    </row>
    <row r="897" spans="1:6" x14ac:dyDescent="0.25">
      <c r="A897" s="2">
        <v>44258.685185185182</v>
      </c>
      <c r="B897" t="s">
        <v>893</v>
      </c>
      <c r="C897" t="s">
        <v>1928</v>
      </c>
      <c r="D897" t="s">
        <v>2356</v>
      </c>
      <c r="E897" t="s">
        <v>2905</v>
      </c>
      <c r="F897" t="str">
        <f>HYPERLINK("https://vsd.vn/vi/ad/139335","Link")</f>
        <v>Link</v>
      </c>
    </row>
    <row r="898" spans="1:6" x14ac:dyDescent="0.25">
      <c r="A898" s="2">
        <v>44258.611828703702</v>
      </c>
      <c r="B898" t="s">
        <v>894</v>
      </c>
      <c r="C898" t="s">
        <v>1929</v>
      </c>
      <c r="D898" t="s">
        <v>2359</v>
      </c>
      <c r="E898" t="s">
        <v>2906</v>
      </c>
      <c r="F898" t="str">
        <f>HYPERLINK("https://vsd.vn/vi/ad/139315","Link")</f>
        <v>Link</v>
      </c>
    </row>
    <row r="899" spans="1:6" x14ac:dyDescent="0.25">
      <c r="A899" s="2">
        <v>44258.463333333333</v>
      </c>
      <c r="B899" t="s">
        <v>895</v>
      </c>
      <c r="C899" t="s">
        <v>1930</v>
      </c>
      <c r="D899" t="s">
        <v>2359</v>
      </c>
      <c r="E899" t="s">
        <v>2907</v>
      </c>
      <c r="F899" t="str">
        <f>HYPERLINK("https://vsd.vn/vi/ad/139294","Link")</f>
        <v>Link</v>
      </c>
    </row>
    <row r="900" spans="1:6" x14ac:dyDescent="0.25">
      <c r="A900" s="2">
        <v>44258.403900462959</v>
      </c>
      <c r="B900" t="s">
        <v>896</v>
      </c>
      <c r="C900" t="s">
        <v>1909</v>
      </c>
      <c r="D900" t="s">
        <v>2355</v>
      </c>
      <c r="E900" t="s">
        <v>2908</v>
      </c>
      <c r="F900" t="str">
        <f>HYPERLINK("https://vsd.vn/vi/ad/139283","Link")</f>
        <v>Link</v>
      </c>
    </row>
    <row r="901" spans="1:6" x14ac:dyDescent="0.25">
      <c r="A901" s="2">
        <v>44258.367962962962</v>
      </c>
      <c r="B901" t="s">
        <v>897</v>
      </c>
      <c r="C901" t="s">
        <v>1931</v>
      </c>
      <c r="D901" t="s">
        <v>2346</v>
      </c>
      <c r="F901" t="str">
        <f>HYPERLINK("https://vsd.vn/vi/ad/139272","Link")</f>
        <v>Link</v>
      </c>
    </row>
    <row r="902" spans="1:6" x14ac:dyDescent="0.25">
      <c r="A902" s="2">
        <v>44257.709710648152</v>
      </c>
      <c r="B902" t="s">
        <v>898</v>
      </c>
      <c r="C902" t="s">
        <v>1932</v>
      </c>
      <c r="D902" t="s">
        <v>2358</v>
      </c>
      <c r="E902" t="s">
        <v>2909</v>
      </c>
      <c r="F902" t="str">
        <f>HYPERLINK("https://vsd.vn/vi/ad/139265","Link")</f>
        <v>Link</v>
      </c>
    </row>
    <row r="903" spans="1:6" x14ac:dyDescent="0.25">
      <c r="A903" s="2">
        <v>44257.694120370368</v>
      </c>
      <c r="B903" t="s">
        <v>899</v>
      </c>
      <c r="C903" t="s">
        <v>1933</v>
      </c>
      <c r="D903" t="s">
        <v>2356</v>
      </c>
      <c r="E903" t="s">
        <v>2910</v>
      </c>
      <c r="F903" t="str">
        <f>HYPERLINK("https://vsd.vn/vi/ad/139256","Link")</f>
        <v>Link</v>
      </c>
    </row>
    <row r="904" spans="1:6" x14ac:dyDescent="0.25">
      <c r="A904" s="2">
        <v>44257.691759259258</v>
      </c>
      <c r="B904" t="s">
        <v>900</v>
      </c>
      <c r="C904" t="s">
        <v>1467</v>
      </c>
      <c r="D904" t="s">
        <v>2362</v>
      </c>
      <c r="E904" t="s">
        <v>2911</v>
      </c>
      <c r="F904" t="str">
        <f>HYPERLINK("https://vsd.vn/vi/ad/139251","Link")</f>
        <v>Link</v>
      </c>
    </row>
    <row r="905" spans="1:6" x14ac:dyDescent="0.25">
      <c r="A905" s="2">
        <v>44257.691122685188</v>
      </c>
      <c r="B905" t="s">
        <v>901</v>
      </c>
      <c r="F905" t="str">
        <f>HYPERLINK("https://vsd.vn/vi/ad/139249","Link")</f>
        <v>Link</v>
      </c>
    </row>
    <row r="906" spans="1:6" x14ac:dyDescent="0.25">
      <c r="A906" s="2">
        <v>44257.664803240739</v>
      </c>
      <c r="B906" t="s">
        <v>902</v>
      </c>
      <c r="C906" t="s">
        <v>1934</v>
      </c>
      <c r="D906" t="s">
        <v>2355</v>
      </c>
      <c r="E906" t="s">
        <v>2912</v>
      </c>
      <c r="F906" t="str">
        <f>HYPERLINK("https://vsd.vn/vi/ad/139237","Link")</f>
        <v>Link</v>
      </c>
    </row>
    <row r="907" spans="1:6" x14ac:dyDescent="0.25">
      <c r="A907" s="2">
        <v>44257.659594907411</v>
      </c>
      <c r="B907" t="s">
        <v>903</v>
      </c>
      <c r="F907" t="str">
        <f>HYPERLINK("https://vsd.vn/vi/ad/139236","Link")</f>
        <v>Link</v>
      </c>
    </row>
    <row r="908" spans="1:6" x14ac:dyDescent="0.25">
      <c r="A908" s="2">
        <v>44257.341585648152</v>
      </c>
      <c r="B908" t="s">
        <v>904</v>
      </c>
      <c r="E908" t="s">
        <v>2913</v>
      </c>
      <c r="F908" t="str">
        <f>HYPERLINK("https://vsd.vn/vi/ad/139201","Link")</f>
        <v>Link</v>
      </c>
    </row>
    <row r="909" spans="1:6" x14ac:dyDescent="0.25">
      <c r="A909" s="2">
        <v>44256.678298611107</v>
      </c>
      <c r="B909" t="s">
        <v>905</v>
      </c>
      <c r="C909" t="s">
        <v>1935</v>
      </c>
      <c r="D909" t="s">
        <v>2360</v>
      </c>
      <c r="E909" t="s">
        <v>2914</v>
      </c>
      <c r="F909" t="str">
        <f>HYPERLINK("https://vsd.vn/vi/ad/139181","Link")</f>
        <v>Link</v>
      </c>
    </row>
    <row r="910" spans="1:6" x14ac:dyDescent="0.25">
      <c r="A910" s="2">
        <v>44256.677199074067</v>
      </c>
      <c r="B910" t="s">
        <v>906</v>
      </c>
      <c r="C910" t="s">
        <v>1936</v>
      </c>
      <c r="D910" t="s">
        <v>2363</v>
      </c>
      <c r="E910" t="s">
        <v>2915</v>
      </c>
      <c r="F910" t="str">
        <f>HYPERLINK("https://vsd.vn/vi/ad/139179","Link")</f>
        <v>Link</v>
      </c>
    </row>
    <row r="911" spans="1:6" x14ac:dyDescent="0.25">
      <c r="A911" s="2">
        <v>44253.683587962973</v>
      </c>
      <c r="B911" t="s">
        <v>907</v>
      </c>
      <c r="C911" t="s">
        <v>1494</v>
      </c>
      <c r="D911" t="s">
        <v>2364</v>
      </c>
      <c r="E911" t="s">
        <v>2916</v>
      </c>
      <c r="F911" t="str">
        <f>HYPERLINK("https://vsd.vn/vi/ad/139132","Link")</f>
        <v>Link</v>
      </c>
    </row>
    <row r="912" spans="1:6" x14ac:dyDescent="0.25">
      <c r="A912" s="2">
        <v>44253.681921296287</v>
      </c>
      <c r="B912" t="s">
        <v>908</v>
      </c>
      <c r="C912" t="s">
        <v>1937</v>
      </c>
      <c r="D912" t="s">
        <v>2360</v>
      </c>
      <c r="E912" t="s">
        <v>2917</v>
      </c>
      <c r="F912" t="str">
        <f>HYPERLINK("https://vsd.vn/vi/ad/139127","Link")</f>
        <v>Link</v>
      </c>
    </row>
    <row r="913" spans="1:6" x14ac:dyDescent="0.25">
      <c r="A913" s="2">
        <v>44253.678356481483</v>
      </c>
      <c r="B913" t="s">
        <v>909</v>
      </c>
      <c r="C913" t="s">
        <v>1467</v>
      </c>
      <c r="D913" t="s">
        <v>2364</v>
      </c>
      <c r="E913" t="s">
        <v>2918</v>
      </c>
      <c r="F913" t="str">
        <f>HYPERLINK("https://vsd.vn/vi/ad/139129","Link")</f>
        <v>Link</v>
      </c>
    </row>
    <row r="914" spans="1:6" x14ac:dyDescent="0.25">
      <c r="A914" s="2">
        <v>44253.460914351846</v>
      </c>
      <c r="B914" t="s">
        <v>910</v>
      </c>
      <c r="F914" t="str">
        <f>HYPERLINK("https://vsd.vn/vi/ad/139098","Link")</f>
        <v>Link</v>
      </c>
    </row>
    <row r="915" spans="1:6" x14ac:dyDescent="0.25">
      <c r="A915" s="2">
        <v>44253.460057870368</v>
      </c>
      <c r="B915" t="s">
        <v>911</v>
      </c>
      <c r="C915" t="s">
        <v>1938</v>
      </c>
      <c r="D915" t="s">
        <v>2363</v>
      </c>
      <c r="E915" t="s">
        <v>2919</v>
      </c>
      <c r="F915" t="str">
        <f>HYPERLINK("https://vsd.vn/vi/ad/139097","Link")</f>
        <v>Link</v>
      </c>
    </row>
    <row r="916" spans="1:6" x14ac:dyDescent="0.25">
      <c r="A916" s="2">
        <v>44253.377280092587</v>
      </c>
      <c r="B916" t="s">
        <v>912</v>
      </c>
      <c r="C916" t="s">
        <v>1939</v>
      </c>
      <c r="D916" t="s">
        <v>2361</v>
      </c>
      <c r="E916" t="s">
        <v>2920</v>
      </c>
      <c r="F916" t="str">
        <f>HYPERLINK("https://vsd.vn/vi/ad/139101","Link")</f>
        <v>Link</v>
      </c>
    </row>
    <row r="917" spans="1:6" x14ac:dyDescent="0.25">
      <c r="A917" s="2">
        <v>44252.686018518521</v>
      </c>
      <c r="B917" t="s">
        <v>913</v>
      </c>
      <c r="C917" t="s">
        <v>1940</v>
      </c>
      <c r="D917" t="s">
        <v>2360</v>
      </c>
      <c r="E917" t="s">
        <v>2921</v>
      </c>
      <c r="F917" t="str">
        <f>HYPERLINK("https://vsd.vn/vi/ad/139093","Link")</f>
        <v>Link</v>
      </c>
    </row>
    <row r="918" spans="1:6" x14ac:dyDescent="0.25">
      <c r="A918" s="2">
        <v>44252.644421296303</v>
      </c>
      <c r="B918" t="s">
        <v>914</v>
      </c>
      <c r="C918" t="s">
        <v>1941</v>
      </c>
      <c r="D918" t="s">
        <v>2356</v>
      </c>
      <c r="E918" t="s">
        <v>2922</v>
      </c>
      <c r="F918" t="str">
        <f>HYPERLINK("https://vsd.vn/vi/ad/139070","Link")</f>
        <v>Link</v>
      </c>
    </row>
    <row r="919" spans="1:6" x14ac:dyDescent="0.25">
      <c r="A919" s="2">
        <v>44252.642071759263</v>
      </c>
      <c r="B919" t="s">
        <v>915</v>
      </c>
      <c r="C919" t="s">
        <v>1942</v>
      </c>
      <c r="D919" t="s">
        <v>2361</v>
      </c>
      <c r="E919" t="s">
        <v>2923</v>
      </c>
      <c r="F919" t="str">
        <f>HYPERLINK("https://vsd.vn/vi/ad/139059","Link")</f>
        <v>Link</v>
      </c>
    </row>
    <row r="920" spans="1:6" x14ac:dyDescent="0.25">
      <c r="A920" s="2">
        <v>44252.426828703698</v>
      </c>
      <c r="B920" t="s">
        <v>916</v>
      </c>
      <c r="C920" t="s">
        <v>1943</v>
      </c>
      <c r="D920" t="s">
        <v>2358</v>
      </c>
      <c r="E920" t="s">
        <v>2924</v>
      </c>
      <c r="F920" t="str">
        <f>HYPERLINK("https://vsd.vn/vi/ad/139057","Link")</f>
        <v>Link</v>
      </c>
    </row>
    <row r="921" spans="1:6" x14ac:dyDescent="0.25">
      <c r="A921" s="2">
        <v>44250.729629629634</v>
      </c>
      <c r="B921" t="s">
        <v>917</v>
      </c>
      <c r="C921" t="s">
        <v>1944</v>
      </c>
      <c r="D921" t="s">
        <v>2364</v>
      </c>
      <c r="E921" t="s">
        <v>2925</v>
      </c>
      <c r="F921" t="str">
        <f>HYPERLINK("https://vsd.vn/vi/ad/138985","Link")</f>
        <v>Link</v>
      </c>
    </row>
    <row r="922" spans="1:6" x14ac:dyDescent="0.25">
      <c r="A922" s="2">
        <v>44250.664351851847</v>
      </c>
      <c r="B922" t="s">
        <v>918</v>
      </c>
      <c r="C922" t="s">
        <v>1945</v>
      </c>
      <c r="D922" t="s">
        <v>2365</v>
      </c>
      <c r="F922" t="str">
        <f>HYPERLINK("https://vsd.vn/vi/ad/138990","Link")</f>
        <v>Link</v>
      </c>
    </row>
    <row r="923" spans="1:6" x14ac:dyDescent="0.25">
      <c r="A923" s="2">
        <v>44250.478576388887</v>
      </c>
      <c r="B923" t="s">
        <v>919</v>
      </c>
      <c r="C923" t="s">
        <v>1494</v>
      </c>
      <c r="D923" t="s">
        <v>2366</v>
      </c>
      <c r="E923" t="s">
        <v>2926</v>
      </c>
      <c r="F923" t="str">
        <f>HYPERLINK("https://vsd.vn/vi/ad/138974","Link")</f>
        <v>Link</v>
      </c>
    </row>
    <row r="924" spans="1:6" x14ac:dyDescent="0.25">
      <c r="A924" s="2">
        <v>44246.70548611111</v>
      </c>
      <c r="B924" t="s">
        <v>920</v>
      </c>
      <c r="C924" t="s">
        <v>1946</v>
      </c>
      <c r="D924" t="s">
        <v>2365</v>
      </c>
      <c r="E924" t="s">
        <v>2927</v>
      </c>
      <c r="F924" t="str">
        <f>HYPERLINK("https://vsd.vn/vi/ad/138949","Link")</f>
        <v>Link</v>
      </c>
    </row>
    <row r="925" spans="1:6" x14ac:dyDescent="0.25">
      <c r="A925" s="2">
        <v>44246.662743055553</v>
      </c>
      <c r="B925" t="s">
        <v>921</v>
      </c>
      <c r="C925" t="s">
        <v>1937</v>
      </c>
      <c r="D925" t="s">
        <v>2365</v>
      </c>
      <c r="E925" t="s">
        <v>2928</v>
      </c>
      <c r="F925" t="str">
        <f>HYPERLINK("https://vsd.vn/vi/ad/138940","Link")</f>
        <v>Link</v>
      </c>
    </row>
    <row r="926" spans="1:6" x14ac:dyDescent="0.25">
      <c r="A926" s="2">
        <v>44246.614733796298</v>
      </c>
      <c r="B926" t="s">
        <v>922</v>
      </c>
      <c r="C926" t="s">
        <v>1947</v>
      </c>
      <c r="D926" t="s">
        <v>2367</v>
      </c>
      <c r="F926" t="str">
        <f>HYPERLINK("https://vsd.vn/vi/ad/138932","Link")</f>
        <v>Link</v>
      </c>
    </row>
    <row r="927" spans="1:6" x14ac:dyDescent="0.25">
      <c r="A927" s="2">
        <v>44245.461446759262</v>
      </c>
      <c r="B927" t="s">
        <v>923</v>
      </c>
      <c r="C927" t="s">
        <v>1948</v>
      </c>
      <c r="D927" t="s">
        <v>2368</v>
      </c>
      <c r="E927" t="s">
        <v>2929</v>
      </c>
      <c r="F927" t="str">
        <f>HYPERLINK("https://vsd.vn/vi/ad/138865","Link")</f>
        <v>Link</v>
      </c>
    </row>
    <row r="928" spans="1:6" x14ac:dyDescent="0.25">
      <c r="A928" s="2">
        <v>44244.711412037039</v>
      </c>
      <c r="B928" t="s">
        <v>924</v>
      </c>
      <c r="C928" t="s">
        <v>1479</v>
      </c>
      <c r="D928" t="s">
        <v>2369</v>
      </c>
      <c r="E928" t="s">
        <v>2930</v>
      </c>
      <c r="F928" t="str">
        <f>HYPERLINK("https://vsd.vn/vi/ad/138862","Link")</f>
        <v>Link</v>
      </c>
    </row>
    <row r="929" spans="1:6" x14ac:dyDescent="0.25">
      <c r="A929" s="2">
        <v>44244.709745370368</v>
      </c>
      <c r="B929" t="s">
        <v>925</v>
      </c>
      <c r="C929" t="s">
        <v>1949</v>
      </c>
      <c r="D929" t="s">
        <v>2368</v>
      </c>
      <c r="E929" t="s">
        <v>2931</v>
      </c>
      <c r="F929" t="str">
        <f>HYPERLINK("https://vsd.vn/vi/ad/138860","Link")</f>
        <v>Link</v>
      </c>
    </row>
    <row r="930" spans="1:6" x14ac:dyDescent="0.25">
      <c r="A930" s="2">
        <v>44236.656481481477</v>
      </c>
      <c r="B930" t="s">
        <v>926</v>
      </c>
      <c r="F930" t="str">
        <f>HYPERLINK("https://vsd.vn/vi/ad/138840","Link")</f>
        <v>Link</v>
      </c>
    </row>
    <row r="931" spans="1:6" x14ac:dyDescent="0.25">
      <c r="A931" s="2">
        <v>44236.641886574071</v>
      </c>
      <c r="B931" t="s">
        <v>927</v>
      </c>
      <c r="C931" t="s">
        <v>1950</v>
      </c>
      <c r="D931" t="s">
        <v>2370</v>
      </c>
      <c r="E931" t="s">
        <v>2932</v>
      </c>
      <c r="F931" t="str">
        <f>HYPERLINK("https://vsd.vn/vi/ad/138823","Link")</f>
        <v>Link</v>
      </c>
    </row>
    <row r="932" spans="1:6" x14ac:dyDescent="0.25">
      <c r="A932" s="2">
        <v>44236.611620370371</v>
      </c>
      <c r="B932" t="s">
        <v>928</v>
      </c>
      <c r="F932" t="str">
        <f>HYPERLINK("https://vsd.vn/vi/ad/138820","Link")</f>
        <v>Link</v>
      </c>
    </row>
    <row r="933" spans="1:6" x14ac:dyDescent="0.25">
      <c r="A933" s="2">
        <v>44236.475474537037</v>
      </c>
      <c r="B933" t="s">
        <v>929</v>
      </c>
      <c r="C933" t="s">
        <v>1951</v>
      </c>
      <c r="D933" t="s">
        <v>2369</v>
      </c>
      <c r="E933" t="s">
        <v>2933</v>
      </c>
      <c r="F933" t="str">
        <f>HYPERLINK("https://vsd.vn/vi/ad/138798","Link")</f>
        <v>Link</v>
      </c>
    </row>
    <row r="934" spans="1:6" x14ac:dyDescent="0.25">
      <c r="A934" s="2">
        <v>44235.746967592589</v>
      </c>
      <c r="B934" t="s">
        <v>930</v>
      </c>
      <c r="C934" t="s">
        <v>1952</v>
      </c>
      <c r="D934" t="s">
        <v>2369</v>
      </c>
      <c r="E934" t="s">
        <v>2934</v>
      </c>
      <c r="F934" t="str">
        <f>HYPERLINK("https://vsd.vn/vi/ad/138787","Link")</f>
        <v>Link</v>
      </c>
    </row>
    <row r="935" spans="1:6" x14ac:dyDescent="0.25">
      <c r="A935" s="2">
        <v>44232.770520833343</v>
      </c>
      <c r="B935" t="s">
        <v>931</v>
      </c>
      <c r="C935" t="s">
        <v>1953</v>
      </c>
      <c r="D935" t="s">
        <v>2369</v>
      </c>
      <c r="E935" t="s">
        <v>2935</v>
      </c>
      <c r="F935" t="str">
        <f>HYPERLINK("https://vsd.vn/vi/ad/138750","Link")</f>
        <v>Link</v>
      </c>
    </row>
    <row r="936" spans="1:6" x14ac:dyDescent="0.25">
      <c r="A936" s="2">
        <v>44232.754583333342</v>
      </c>
      <c r="B936" t="s">
        <v>932</v>
      </c>
      <c r="C936" t="s">
        <v>1954</v>
      </c>
      <c r="D936" t="s">
        <v>2369</v>
      </c>
      <c r="F936" t="str">
        <f>HYPERLINK("https://vsd.vn/vi/ad/138734","Link")</f>
        <v>Link</v>
      </c>
    </row>
    <row r="937" spans="1:6" x14ac:dyDescent="0.25">
      <c r="A937" s="2">
        <v>44232.754259259258</v>
      </c>
      <c r="B937" t="s">
        <v>933</v>
      </c>
      <c r="C937" t="s">
        <v>1574</v>
      </c>
      <c r="D937" t="s">
        <v>2371</v>
      </c>
      <c r="E937" t="s">
        <v>2931</v>
      </c>
      <c r="F937" t="str">
        <f>HYPERLINK("https://vsd.vn/vi/ad/138735","Link")</f>
        <v>Link</v>
      </c>
    </row>
    <row r="938" spans="1:6" x14ac:dyDescent="0.25">
      <c r="A938" s="2">
        <v>44232.742326388892</v>
      </c>
      <c r="B938" t="s">
        <v>934</v>
      </c>
      <c r="C938" t="s">
        <v>1955</v>
      </c>
      <c r="D938" t="s">
        <v>2368</v>
      </c>
      <c r="E938" t="s">
        <v>2936</v>
      </c>
      <c r="F938" t="str">
        <f>HYPERLINK("https://vsd.vn/vi/ad/138737","Link")</f>
        <v>Link</v>
      </c>
    </row>
    <row r="939" spans="1:6" x14ac:dyDescent="0.25">
      <c r="A939" s="2">
        <v>44232.679537037038</v>
      </c>
      <c r="B939" t="s">
        <v>935</v>
      </c>
      <c r="C939" t="s">
        <v>1919</v>
      </c>
      <c r="D939" t="s">
        <v>2368</v>
      </c>
      <c r="E939" t="s">
        <v>2937</v>
      </c>
      <c r="F939" t="str">
        <f>HYPERLINK("https://vsd.vn/vi/ad/138726","Link")</f>
        <v>Link</v>
      </c>
    </row>
    <row r="940" spans="1:6" x14ac:dyDescent="0.25">
      <c r="A940" s="2">
        <v>44232.665451388893</v>
      </c>
      <c r="B940" t="s">
        <v>936</v>
      </c>
      <c r="C940" t="s">
        <v>1956</v>
      </c>
      <c r="D940" t="s">
        <v>2372</v>
      </c>
      <c r="E940" t="s">
        <v>2938</v>
      </c>
      <c r="F940" t="str">
        <f>HYPERLINK("https://vsd.vn/vi/ad/138725","Link")</f>
        <v>Link</v>
      </c>
    </row>
    <row r="941" spans="1:6" x14ac:dyDescent="0.25">
      <c r="A941" s="2">
        <v>44232.573587962957</v>
      </c>
      <c r="B941" t="s">
        <v>937</v>
      </c>
      <c r="C941" t="s">
        <v>1933</v>
      </c>
      <c r="D941" t="s">
        <v>2365</v>
      </c>
      <c r="E941" t="s">
        <v>2939</v>
      </c>
      <c r="F941" t="str">
        <f>HYPERLINK("https://vsd.vn/vi/ad/138701","Link")</f>
        <v>Link</v>
      </c>
    </row>
    <row r="942" spans="1:6" x14ac:dyDescent="0.25">
      <c r="A942" s="2">
        <v>44231.713321759264</v>
      </c>
      <c r="B942" t="s">
        <v>938</v>
      </c>
      <c r="F942" t="str">
        <f>HYPERLINK("https://vsd.vn/vi/ad/138688","Link")</f>
        <v>Link</v>
      </c>
    </row>
    <row r="943" spans="1:6" x14ac:dyDescent="0.25">
      <c r="A943" s="2">
        <v>44231.657013888893</v>
      </c>
      <c r="B943" t="s">
        <v>939</v>
      </c>
      <c r="C943" t="s">
        <v>1957</v>
      </c>
      <c r="D943" t="s">
        <v>2373</v>
      </c>
      <c r="E943" t="s">
        <v>2940</v>
      </c>
      <c r="F943" t="str">
        <f>HYPERLINK("https://vsd.vn/vi/ad/138685","Link")</f>
        <v>Link</v>
      </c>
    </row>
    <row r="944" spans="1:6" x14ac:dyDescent="0.25">
      <c r="A944" s="2">
        <v>44231.636203703703</v>
      </c>
      <c r="B944" t="s">
        <v>940</v>
      </c>
      <c r="F944" t="str">
        <f>HYPERLINK("https://vsd.vn/vi/ad/138683","Link")</f>
        <v>Link</v>
      </c>
    </row>
    <row r="945" spans="1:6" x14ac:dyDescent="0.25">
      <c r="A945" s="2">
        <v>44230.719502314823</v>
      </c>
      <c r="B945" t="s">
        <v>941</v>
      </c>
      <c r="C945" t="s">
        <v>1958</v>
      </c>
      <c r="D945" t="s">
        <v>2374</v>
      </c>
      <c r="E945" t="s">
        <v>2941</v>
      </c>
      <c r="F945" t="str">
        <f>HYPERLINK("https://vsd.vn/vi/ad/138662","Link")</f>
        <v>Link</v>
      </c>
    </row>
    <row r="946" spans="1:6" x14ac:dyDescent="0.25">
      <c r="A946" s="2">
        <v>44230.535462962973</v>
      </c>
      <c r="B946" t="s">
        <v>942</v>
      </c>
      <c r="C946" t="s">
        <v>1959</v>
      </c>
      <c r="D946" t="s">
        <v>2375</v>
      </c>
      <c r="E946" t="s">
        <v>2942</v>
      </c>
      <c r="F946" t="str">
        <f>HYPERLINK("https://vsd.vn/vi/ad/138629","Link")</f>
        <v>Link</v>
      </c>
    </row>
    <row r="947" spans="1:6" x14ac:dyDescent="0.25">
      <c r="A947" s="2">
        <v>44230.535243055558</v>
      </c>
      <c r="B947" t="s">
        <v>943</v>
      </c>
      <c r="C947" t="s">
        <v>1829</v>
      </c>
      <c r="D947" t="s">
        <v>2373</v>
      </c>
      <c r="E947" t="s">
        <v>2943</v>
      </c>
      <c r="F947" t="str">
        <f>HYPERLINK("https://vsd.vn/vi/ad/138627","Link")</f>
        <v>Link</v>
      </c>
    </row>
    <row r="948" spans="1:6" x14ac:dyDescent="0.25">
      <c r="A948" s="2">
        <v>44230.470648148148</v>
      </c>
      <c r="B948" t="s">
        <v>944</v>
      </c>
      <c r="C948" t="s">
        <v>1960</v>
      </c>
      <c r="D948" t="s">
        <v>2374</v>
      </c>
      <c r="E948" t="s">
        <v>2944</v>
      </c>
      <c r="F948" t="str">
        <f>HYPERLINK("https://vsd.vn/vi/ad/138617","Link")</f>
        <v>Link</v>
      </c>
    </row>
    <row r="949" spans="1:6" x14ac:dyDescent="0.25">
      <c r="A949" s="2">
        <v>44229.737187500003</v>
      </c>
      <c r="B949" t="s">
        <v>945</v>
      </c>
      <c r="C949" t="s">
        <v>1467</v>
      </c>
      <c r="D949" t="s">
        <v>2373</v>
      </c>
      <c r="E949" t="s">
        <v>2945</v>
      </c>
      <c r="F949" t="str">
        <f>HYPERLINK("https://vsd.vn/vi/ad/138602","Link")</f>
        <v>Link</v>
      </c>
    </row>
    <row r="950" spans="1:6" x14ac:dyDescent="0.25">
      <c r="A950" s="2">
        <v>44228.695821759262</v>
      </c>
      <c r="B950" t="s">
        <v>946</v>
      </c>
      <c r="C950" t="s">
        <v>1467</v>
      </c>
      <c r="D950" t="s">
        <v>2376</v>
      </c>
      <c r="E950" t="s">
        <v>2946</v>
      </c>
      <c r="F950" t="str">
        <f>HYPERLINK("https://vsd.vn/vi/ad/138570","Link")</f>
        <v>Link</v>
      </c>
    </row>
    <row r="951" spans="1:6" x14ac:dyDescent="0.25">
      <c r="A951" s="2">
        <v>44225.744212962964</v>
      </c>
      <c r="B951" t="s">
        <v>947</v>
      </c>
      <c r="C951" t="s">
        <v>1494</v>
      </c>
      <c r="D951" t="s">
        <v>2367</v>
      </c>
      <c r="E951" t="s">
        <v>2947</v>
      </c>
      <c r="F951" t="str">
        <f>HYPERLINK("https://vsd.vn/vi/ad/138544","Link")</f>
        <v>Link</v>
      </c>
    </row>
    <row r="952" spans="1:6" x14ac:dyDescent="0.25">
      <c r="A952" s="2">
        <v>44225.742395833331</v>
      </c>
      <c r="B952" t="s">
        <v>948</v>
      </c>
      <c r="F952" t="str">
        <f>HYPERLINK("https://vsd.vn/vi/ad/138538","Link")</f>
        <v>Link</v>
      </c>
    </row>
    <row r="953" spans="1:6" x14ac:dyDescent="0.25">
      <c r="A953" s="2">
        <v>44225.538611111107</v>
      </c>
      <c r="B953" t="s">
        <v>949</v>
      </c>
      <c r="F953" t="str">
        <f>HYPERLINK("https://vsd.vn/vi/ad/138521","Link")</f>
        <v>Link</v>
      </c>
    </row>
    <row r="954" spans="1:6" x14ac:dyDescent="0.25">
      <c r="A954" s="2">
        <v>44224.678460648152</v>
      </c>
      <c r="B954" t="s">
        <v>950</v>
      </c>
      <c r="C954" t="s">
        <v>1961</v>
      </c>
      <c r="D954" t="s">
        <v>2363</v>
      </c>
      <c r="E954" t="s">
        <v>2948</v>
      </c>
      <c r="F954" t="str">
        <f>HYPERLINK("https://vsd.vn/vi/ad/138501","Link")</f>
        <v>Link</v>
      </c>
    </row>
    <row r="955" spans="1:6" x14ac:dyDescent="0.25">
      <c r="A955" s="2">
        <v>44224.658877314818</v>
      </c>
      <c r="B955" t="s">
        <v>951</v>
      </c>
      <c r="C955" t="s">
        <v>1962</v>
      </c>
      <c r="D955" t="s">
        <v>2371</v>
      </c>
      <c r="E955" t="s">
        <v>2931</v>
      </c>
      <c r="F955" t="str">
        <f>HYPERLINK("https://vsd.vn/vi/ad/138495","Link")</f>
        <v>Link</v>
      </c>
    </row>
    <row r="956" spans="1:6" x14ac:dyDescent="0.25">
      <c r="A956" s="2">
        <v>44224.657858796287</v>
      </c>
      <c r="B956" t="s">
        <v>952</v>
      </c>
      <c r="C956" t="s">
        <v>1467</v>
      </c>
      <c r="D956" t="s">
        <v>2374</v>
      </c>
      <c r="E956" t="s">
        <v>2949</v>
      </c>
      <c r="F956" t="str">
        <f>HYPERLINK("https://vsd.vn/vi/ad/138493","Link")</f>
        <v>Link</v>
      </c>
    </row>
    <row r="957" spans="1:6" x14ac:dyDescent="0.25">
      <c r="A957" s="2">
        <v>44223.612361111111</v>
      </c>
      <c r="B957" t="s">
        <v>953</v>
      </c>
      <c r="C957" t="s">
        <v>1963</v>
      </c>
      <c r="D957" t="s">
        <v>2377</v>
      </c>
      <c r="E957" t="s">
        <v>2886</v>
      </c>
      <c r="F957" t="str">
        <f>HYPERLINK("https://vsd.vn/vi/ad/138467","Link")</f>
        <v>Link</v>
      </c>
    </row>
    <row r="958" spans="1:6" x14ac:dyDescent="0.25">
      <c r="A958" s="2">
        <v>44222.718726851846</v>
      </c>
      <c r="B958" t="s">
        <v>954</v>
      </c>
      <c r="C958" t="s">
        <v>1467</v>
      </c>
      <c r="D958" t="s">
        <v>2378</v>
      </c>
      <c r="E958" t="s">
        <v>2931</v>
      </c>
      <c r="F958" t="str">
        <f>HYPERLINK("https://vsd.vn/vi/ad/138444","Link")</f>
        <v>Link</v>
      </c>
    </row>
    <row r="959" spans="1:6" x14ac:dyDescent="0.25">
      <c r="A959" s="2">
        <v>44222.717870370368</v>
      </c>
      <c r="B959" t="s">
        <v>955</v>
      </c>
      <c r="C959" t="s">
        <v>1964</v>
      </c>
      <c r="D959" t="s">
        <v>2376</v>
      </c>
      <c r="E959" t="s">
        <v>2950</v>
      </c>
      <c r="F959" t="str">
        <f>HYPERLINK("https://vsd.vn/vi/ad/138439","Link")</f>
        <v>Link</v>
      </c>
    </row>
    <row r="960" spans="1:6" x14ac:dyDescent="0.25">
      <c r="A960" s="2">
        <v>44222.717604166668</v>
      </c>
      <c r="B960" t="s">
        <v>956</v>
      </c>
      <c r="C960" t="s">
        <v>1479</v>
      </c>
      <c r="D960" t="s">
        <v>2379</v>
      </c>
      <c r="E960" t="s">
        <v>2951</v>
      </c>
      <c r="F960" t="str">
        <f>HYPERLINK("https://vsd.vn/vi/ad/138438","Link")</f>
        <v>Link</v>
      </c>
    </row>
    <row r="961" spans="1:6" x14ac:dyDescent="0.25">
      <c r="A961" s="2">
        <v>44222.614918981482</v>
      </c>
      <c r="B961" t="s">
        <v>957</v>
      </c>
      <c r="C961" t="s">
        <v>1965</v>
      </c>
      <c r="D961" t="s">
        <v>2380</v>
      </c>
      <c r="E961" t="s">
        <v>2952</v>
      </c>
      <c r="F961" t="str">
        <f>HYPERLINK("https://vsd.vn/vi/ad/138420","Link")</f>
        <v>Link</v>
      </c>
    </row>
    <row r="962" spans="1:6" x14ac:dyDescent="0.25">
      <c r="A962" s="2">
        <v>44218.751354166663</v>
      </c>
      <c r="B962" t="s">
        <v>958</v>
      </c>
      <c r="F962" t="str">
        <f>HYPERLINK("https://vsd.vn/vi/ad/138387","Link")</f>
        <v>Link</v>
      </c>
    </row>
    <row r="963" spans="1:6" x14ac:dyDescent="0.25">
      <c r="A963" s="2">
        <v>44218.689293981479</v>
      </c>
      <c r="B963" t="s">
        <v>959</v>
      </c>
      <c r="C963" t="s">
        <v>1966</v>
      </c>
      <c r="D963" t="s">
        <v>2368</v>
      </c>
      <c r="E963" t="s">
        <v>2953</v>
      </c>
      <c r="F963" t="str">
        <f>HYPERLINK("https://vsd.vn/vi/ad/138378","Link")</f>
        <v>Link</v>
      </c>
    </row>
    <row r="964" spans="1:6" x14ac:dyDescent="0.25">
      <c r="A964" s="2">
        <v>44218.647835648153</v>
      </c>
      <c r="B964" t="s">
        <v>960</v>
      </c>
      <c r="C964" t="s">
        <v>1467</v>
      </c>
      <c r="D964" t="s">
        <v>2370</v>
      </c>
      <c r="E964" t="s">
        <v>2954</v>
      </c>
      <c r="F964" t="str">
        <f>HYPERLINK("https://vsd.vn/vi/ad/138372","Link")</f>
        <v>Link</v>
      </c>
    </row>
    <row r="965" spans="1:6" x14ac:dyDescent="0.25">
      <c r="A965" s="2">
        <v>44218.548043981478</v>
      </c>
      <c r="B965" t="s">
        <v>961</v>
      </c>
      <c r="F965" t="str">
        <f>HYPERLINK("https://vsd.vn/vi/ad/138362","Link")</f>
        <v>Link</v>
      </c>
    </row>
    <row r="966" spans="1:6" x14ac:dyDescent="0.25">
      <c r="A966" s="2">
        <v>44218.547673611109</v>
      </c>
      <c r="B966" t="s">
        <v>962</v>
      </c>
      <c r="C966" t="s">
        <v>1919</v>
      </c>
      <c r="D966" t="s">
        <v>2378</v>
      </c>
      <c r="E966" t="s">
        <v>2955</v>
      </c>
      <c r="F966" t="str">
        <f>HYPERLINK("https://vsd.vn/vi/ad/138360","Link")</f>
        <v>Link</v>
      </c>
    </row>
    <row r="967" spans="1:6" x14ac:dyDescent="0.25">
      <c r="A967" s="2">
        <v>44218.546550925923</v>
      </c>
      <c r="B967" t="s">
        <v>963</v>
      </c>
      <c r="C967" t="s">
        <v>1477</v>
      </c>
      <c r="D967" t="s">
        <v>2381</v>
      </c>
      <c r="E967" t="s">
        <v>2956</v>
      </c>
      <c r="F967" t="str">
        <f>HYPERLINK("https://vsd.vn/vi/ad/138357","Link")</f>
        <v>Link</v>
      </c>
    </row>
    <row r="968" spans="1:6" x14ac:dyDescent="0.25">
      <c r="A968" s="2">
        <v>44217.678333333337</v>
      </c>
      <c r="B968" t="s">
        <v>964</v>
      </c>
      <c r="F968" t="str">
        <f>HYPERLINK("https://vsd.vn/vi/ad/138343","Link")</f>
        <v>Link</v>
      </c>
    </row>
    <row r="969" spans="1:6" x14ac:dyDescent="0.25">
      <c r="A969" s="2">
        <v>44217.67633101852</v>
      </c>
      <c r="B969" t="s">
        <v>965</v>
      </c>
      <c r="C969" t="s">
        <v>1919</v>
      </c>
      <c r="D969" t="s">
        <v>2382</v>
      </c>
      <c r="E969" t="s">
        <v>2957</v>
      </c>
      <c r="F969" t="str">
        <f>HYPERLINK("https://vsd.vn/vi/ad/138340","Link")</f>
        <v>Link</v>
      </c>
    </row>
    <row r="970" spans="1:6" x14ac:dyDescent="0.25">
      <c r="A970" s="2">
        <v>44217.675856481481</v>
      </c>
      <c r="B970" t="s">
        <v>966</v>
      </c>
      <c r="C970" t="s">
        <v>1689</v>
      </c>
      <c r="D970" t="s">
        <v>2381</v>
      </c>
      <c r="E970" t="s">
        <v>2935</v>
      </c>
      <c r="F970" t="str">
        <f>HYPERLINK("https://vsd.vn/vi/ad/138337","Link")</f>
        <v>Link</v>
      </c>
    </row>
    <row r="971" spans="1:6" x14ac:dyDescent="0.25">
      <c r="A971" s="2">
        <v>44216.724733796298</v>
      </c>
      <c r="B971" t="s">
        <v>967</v>
      </c>
      <c r="C971" t="s">
        <v>1538</v>
      </c>
      <c r="D971" t="s">
        <v>2383</v>
      </c>
      <c r="F971" t="str">
        <f>HYPERLINK("https://vsd.vn/vi/ad/138323","Link")</f>
        <v>Link</v>
      </c>
    </row>
    <row r="972" spans="1:6" x14ac:dyDescent="0.25">
      <c r="A972" s="2">
        <v>44216.642847222232</v>
      </c>
      <c r="B972" t="s">
        <v>968</v>
      </c>
      <c r="D972" t="s">
        <v>2384</v>
      </c>
      <c r="E972" t="s">
        <v>2958</v>
      </c>
      <c r="F972" t="str">
        <f>HYPERLINK("https://vsd.vn/vi/ad/138321","Link")</f>
        <v>Link</v>
      </c>
    </row>
    <row r="973" spans="1:6" x14ac:dyDescent="0.25">
      <c r="A973" s="2">
        <v>44215.723113425927</v>
      </c>
      <c r="B973" t="s">
        <v>969</v>
      </c>
      <c r="C973" t="s">
        <v>1967</v>
      </c>
      <c r="D973" t="s">
        <v>2385</v>
      </c>
      <c r="F973" t="str">
        <f>HYPERLINK("https://vsd.vn/vi/ad/138300","Link")</f>
        <v>Link</v>
      </c>
    </row>
    <row r="974" spans="1:6" x14ac:dyDescent="0.25">
      <c r="A974" s="2">
        <v>44215.721759259257</v>
      </c>
      <c r="B974" t="s">
        <v>970</v>
      </c>
      <c r="C974" t="s">
        <v>1968</v>
      </c>
      <c r="D974" t="s">
        <v>2385</v>
      </c>
      <c r="E974" t="s">
        <v>2959</v>
      </c>
      <c r="F974" t="str">
        <f>HYPERLINK("https://vsd.vn/vi/ad/138301","Link")</f>
        <v>Link</v>
      </c>
    </row>
    <row r="975" spans="1:6" x14ac:dyDescent="0.25">
      <c r="A975" s="2">
        <v>44215.713622685187</v>
      </c>
      <c r="B975" t="s">
        <v>971</v>
      </c>
      <c r="F975" t="str">
        <f>HYPERLINK("https://vsd.vn/vi/ad/138297","Link")</f>
        <v>Link</v>
      </c>
    </row>
    <row r="976" spans="1:6" x14ac:dyDescent="0.25">
      <c r="A976" s="2">
        <v>44215.618541666663</v>
      </c>
      <c r="B976" t="s">
        <v>972</v>
      </c>
      <c r="C976" t="s">
        <v>1969</v>
      </c>
      <c r="D976" t="s">
        <v>2386</v>
      </c>
      <c r="E976" t="s">
        <v>2960</v>
      </c>
      <c r="F976" t="str">
        <f>HYPERLINK("https://vsd.vn/vi/ad/138274","Link")</f>
        <v>Link</v>
      </c>
    </row>
    <row r="977" spans="1:6" x14ac:dyDescent="0.25">
      <c r="A977" s="2">
        <v>44215.428449074083</v>
      </c>
      <c r="B977" t="s">
        <v>973</v>
      </c>
      <c r="C977" t="s">
        <v>1970</v>
      </c>
      <c r="D977" t="s">
        <v>2385</v>
      </c>
      <c r="F977" t="str">
        <f>HYPERLINK("https://vsd.vn/vi/ad/138255","Link")</f>
        <v>Link</v>
      </c>
    </row>
    <row r="978" spans="1:6" x14ac:dyDescent="0.25">
      <c r="A978" s="2">
        <v>44214.665636574071</v>
      </c>
      <c r="B978" t="s">
        <v>974</v>
      </c>
      <c r="C978" t="s">
        <v>1971</v>
      </c>
      <c r="D978" t="s">
        <v>2386</v>
      </c>
      <c r="E978" t="s">
        <v>2961</v>
      </c>
      <c r="F978" t="str">
        <f>HYPERLINK("https://vsd.vn/vi/ad/138265","Link")</f>
        <v>Link</v>
      </c>
    </row>
    <row r="979" spans="1:6" x14ac:dyDescent="0.25">
      <c r="A979" s="2">
        <v>44211.710370370369</v>
      </c>
      <c r="B979" t="s">
        <v>975</v>
      </c>
      <c r="C979" t="s">
        <v>1972</v>
      </c>
      <c r="D979" t="s">
        <v>2384</v>
      </c>
      <c r="F979" t="str">
        <f>HYPERLINK("https://vsd.vn/vi/ad/77633","Link")</f>
        <v>Link</v>
      </c>
    </row>
    <row r="980" spans="1:6" x14ac:dyDescent="0.25">
      <c r="A980" s="2">
        <v>44211.680590277778</v>
      </c>
      <c r="B980" t="s">
        <v>976</v>
      </c>
      <c r="F980" t="str">
        <f>HYPERLINK("https://vsd.vn/vi/ad/77630","Link")</f>
        <v>Link</v>
      </c>
    </row>
    <row r="981" spans="1:6" x14ac:dyDescent="0.25">
      <c r="A981" s="2">
        <v>44211.669907407413</v>
      </c>
      <c r="B981" t="s">
        <v>977</v>
      </c>
      <c r="F981" t="str">
        <f>HYPERLINK("https://vsd.vn/vi/ad/77628","Link")</f>
        <v>Link</v>
      </c>
    </row>
    <row r="982" spans="1:6" x14ac:dyDescent="0.25">
      <c r="A982" s="2">
        <v>44211.611851851849</v>
      </c>
      <c r="B982" t="s">
        <v>978</v>
      </c>
      <c r="C982" t="s">
        <v>1467</v>
      </c>
      <c r="D982" t="s">
        <v>2384</v>
      </c>
      <c r="E982" t="s">
        <v>2961</v>
      </c>
      <c r="F982" t="str">
        <f>HYPERLINK("https://vsd.vn/vi/ad/77624","Link")</f>
        <v>Link</v>
      </c>
    </row>
    <row r="983" spans="1:6" x14ac:dyDescent="0.25">
      <c r="A983" s="2">
        <v>44211.608784722222</v>
      </c>
      <c r="B983" t="s">
        <v>979</v>
      </c>
      <c r="C983" t="s">
        <v>1973</v>
      </c>
      <c r="D983" t="s">
        <v>2386</v>
      </c>
      <c r="F983" t="str">
        <f>HYPERLINK("https://vsd.vn/vi/ad/77622","Link")</f>
        <v>Link</v>
      </c>
    </row>
    <row r="984" spans="1:6" x14ac:dyDescent="0.25">
      <c r="A984" s="2">
        <v>44210.701377314806</v>
      </c>
      <c r="B984" t="s">
        <v>980</v>
      </c>
      <c r="C984" t="s">
        <v>1974</v>
      </c>
      <c r="D984" t="s">
        <v>2387</v>
      </c>
      <c r="E984" t="s">
        <v>2962</v>
      </c>
      <c r="F984" t="str">
        <f>HYPERLINK("https://vsd.vn/vi/ad/77598","Link")</f>
        <v>Link</v>
      </c>
    </row>
    <row r="985" spans="1:6" x14ac:dyDescent="0.25">
      <c r="A985" s="2">
        <v>44210.699837962973</v>
      </c>
      <c r="B985" t="s">
        <v>981</v>
      </c>
      <c r="C985" t="s">
        <v>1975</v>
      </c>
      <c r="D985" t="s">
        <v>2388</v>
      </c>
      <c r="E985" t="s">
        <v>2963</v>
      </c>
      <c r="F985" t="str">
        <f>HYPERLINK("https://vsd.vn/vi/ad/77600","Link")</f>
        <v>Link</v>
      </c>
    </row>
    <row r="986" spans="1:6" x14ac:dyDescent="0.25">
      <c r="A986" s="2">
        <v>44210.682002314818</v>
      </c>
      <c r="B986" t="s">
        <v>982</v>
      </c>
      <c r="C986" t="s">
        <v>1494</v>
      </c>
      <c r="D986" t="s">
        <v>2387</v>
      </c>
      <c r="E986" t="s">
        <v>2963</v>
      </c>
      <c r="F986" t="str">
        <f>HYPERLINK("https://vsd.vn/vi/ad/77591","Link")</f>
        <v>Link</v>
      </c>
    </row>
    <row r="987" spans="1:6" x14ac:dyDescent="0.25">
      <c r="A987" s="2">
        <v>44210.681527777779</v>
      </c>
      <c r="B987" t="s">
        <v>983</v>
      </c>
      <c r="F987" t="str">
        <f>HYPERLINK("https://vsd.vn/vi/ad/77589","Link")</f>
        <v>Link</v>
      </c>
    </row>
    <row r="988" spans="1:6" x14ac:dyDescent="0.25">
      <c r="A988" s="2">
        <v>44209.709560185183</v>
      </c>
      <c r="B988" t="s">
        <v>984</v>
      </c>
      <c r="F988" t="str">
        <f>HYPERLINK("https://vsd.vn/vi/ad/77575","Link")</f>
        <v>Link</v>
      </c>
    </row>
    <row r="989" spans="1:6" x14ac:dyDescent="0.25">
      <c r="A989" s="2">
        <v>44209.708414351851</v>
      </c>
      <c r="B989" t="s">
        <v>985</v>
      </c>
      <c r="F989" t="str">
        <f>HYPERLINK("https://vsd.vn/vi/ad/77576","Link")</f>
        <v>Link</v>
      </c>
    </row>
    <row r="990" spans="1:6" x14ac:dyDescent="0.25">
      <c r="A990" s="2">
        <v>44209.707118055558</v>
      </c>
      <c r="B990" t="s">
        <v>986</v>
      </c>
      <c r="F990" t="str">
        <f>HYPERLINK("https://vsd.vn/vi/ad/77577","Link")</f>
        <v>Link</v>
      </c>
    </row>
    <row r="991" spans="1:6" x14ac:dyDescent="0.25">
      <c r="A991" s="2">
        <v>44209.701215277782</v>
      </c>
      <c r="B991" t="s">
        <v>987</v>
      </c>
      <c r="C991" t="s">
        <v>1976</v>
      </c>
      <c r="D991" t="s">
        <v>2389</v>
      </c>
      <c r="F991" t="str">
        <f>HYPERLINK("https://vsd.vn/vi/ad/77570","Link")</f>
        <v>Link</v>
      </c>
    </row>
    <row r="992" spans="1:6" x14ac:dyDescent="0.25">
      <c r="A992" s="2">
        <v>44209.646886574083</v>
      </c>
      <c r="B992" t="s">
        <v>988</v>
      </c>
      <c r="C992" t="s">
        <v>1977</v>
      </c>
      <c r="D992" t="s">
        <v>2375</v>
      </c>
      <c r="E992" t="s">
        <v>2964</v>
      </c>
      <c r="F992" t="str">
        <f>HYPERLINK("https://vsd.vn/vi/ad/77571","Link")</f>
        <v>Link</v>
      </c>
    </row>
    <row r="993" spans="1:6" x14ac:dyDescent="0.25">
      <c r="A993" s="2">
        <v>44209.612766203703</v>
      </c>
      <c r="B993" t="s">
        <v>989</v>
      </c>
      <c r="C993" t="s">
        <v>1978</v>
      </c>
      <c r="D993" t="s">
        <v>2389</v>
      </c>
      <c r="E993" t="s">
        <v>2965</v>
      </c>
      <c r="F993" t="str">
        <f>HYPERLINK("https://vsd.vn/vi/ad/77567","Link")</f>
        <v>Link</v>
      </c>
    </row>
    <row r="994" spans="1:6" x14ac:dyDescent="0.25">
      <c r="A994" s="2">
        <v>44209.611655092587</v>
      </c>
      <c r="B994" t="s">
        <v>990</v>
      </c>
      <c r="C994" t="s">
        <v>1484</v>
      </c>
      <c r="D994" t="s">
        <v>2389</v>
      </c>
      <c r="E994" t="s">
        <v>2966</v>
      </c>
      <c r="F994" t="str">
        <f>HYPERLINK("https://vsd.vn/vi/ad/77563","Link")</f>
        <v>Link</v>
      </c>
    </row>
    <row r="995" spans="1:6" x14ac:dyDescent="0.25">
      <c r="A995" s="2">
        <v>44209.611134259263</v>
      </c>
      <c r="B995" t="s">
        <v>991</v>
      </c>
      <c r="C995" t="s">
        <v>1467</v>
      </c>
      <c r="D995" t="s">
        <v>2389</v>
      </c>
      <c r="E995" t="s">
        <v>2965</v>
      </c>
      <c r="F995" t="str">
        <f>HYPERLINK("https://vsd.vn/vi/ad/77568","Link")</f>
        <v>Link</v>
      </c>
    </row>
    <row r="996" spans="1:6" x14ac:dyDescent="0.25">
      <c r="A996" s="2">
        <v>44208.703159722223</v>
      </c>
      <c r="B996" t="s">
        <v>992</v>
      </c>
      <c r="F996" t="str">
        <f>HYPERLINK("https://vsd.vn/vi/ad/77557","Link")</f>
        <v>Link</v>
      </c>
    </row>
    <row r="997" spans="1:6" x14ac:dyDescent="0.25">
      <c r="A997" s="2">
        <v>44208.666666666657</v>
      </c>
      <c r="B997" t="s">
        <v>993</v>
      </c>
      <c r="F997" t="str">
        <f>HYPERLINK("https://vsd.vn/vi/ad/77545","Link")</f>
        <v>Link</v>
      </c>
    </row>
    <row r="998" spans="1:6" x14ac:dyDescent="0.25">
      <c r="A998" s="2">
        <v>44208.665266203701</v>
      </c>
      <c r="B998" t="s">
        <v>994</v>
      </c>
      <c r="C998" t="s">
        <v>1979</v>
      </c>
      <c r="D998" t="s">
        <v>2389</v>
      </c>
      <c r="E998" t="s">
        <v>2967</v>
      </c>
      <c r="F998" t="str">
        <f>HYPERLINK("https://vsd.vn/vi/ad/77548","Link")</f>
        <v>Link</v>
      </c>
    </row>
    <row r="999" spans="1:6" x14ac:dyDescent="0.25">
      <c r="A999" s="2">
        <v>44208.658946759257</v>
      </c>
      <c r="B999" t="s">
        <v>995</v>
      </c>
      <c r="C999" t="s">
        <v>1676</v>
      </c>
      <c r="D999" t="s">
        <v>2387</v>
      </c>
      <c r="E999" t="s">
        <v>2951</v>
      </c>
      <c r="F999" t="str">
        <f>HYPERLINK("https://vsd.vn/vi/ad/77553","Link")</f>
        <v>Link</v>
      </c>
    </row>
    <row r="1000" spans="1:6" x14ac:dyDescent="0.25">
      <c r="A1000" s="2">
        <v>44208.655381944453</v>
      </c>
      <c r="B1000" t="s">
        <v>996</v>
      </c>
      <c r="C1000" t="s">
        <v>1980</v>
      </c>
      <c r="D1000" t="s">
        <v>2390</v>
      </c>
      <c r="F1000" t="str">
        <f>HYPERLINK("https://vsd.vn/vi/ad/77552","Link")</f>
        <v>Link</v>
      </c>
    </row>
    <row r="1001" spans="1:6" x14ac:dyDescent="0.25">
      <c r="A1001" s="2">
        <v>44208.647013888891</v>
      </c>
      <c r="B1001" t="s">
        <v>997</v>
      </c>
      <c r="C1001" t="s">
        <v>1467</v>
      </c>
      <c r="D1001" t="s">
        <v>2386</v>
      </c>
      <c r="E1001" t="s">
        <v>2965</v>
      </c>
      <c r="F1001" t="str">
        <f>HYPERLINK("https://vsd.vn/vi/ad/77551","Link")</f>
        <v>Link</v>
      </c>
    </row>
    <row r="1002" spans="1:6" x14ac:dyDescent="0.25">
      <c r="A1002" s="2">
        <v>44208.429791666669</v>
      </c>
      <c r="B1002" t="s">
        <v>998</v>
      </c>
      <c r="F1002" t="str">
        <f>HYPERLINK("https://vsd.vn/vi/ad/77544","Link")</f>
        <v>Link</v>
      </c>
    </row>
    <row r="1003" spans="1:6" x14ac:dyDescent="0.25">
      <c r="A1003" s="2">
        <v>44208.417222222219</v>
      </c>
      <c r="B1003" t="s">
        <v>999</v>
      </c>
      <c r="C1003" t="s">
        <v>1981</v>
      </c>
      <c r="D1003" t="s">
        <v>2390</v>
      </c>
      <c r="F1003" t="str">
        <f>HYPERLINK("https://vsd.vn/vi/ad/77536","Link")</f>
        <v>Link</v>
      </c>
    </row>
    <row r="1004" spans="1:6" x14ac:dyDescent="0.25">
      <c r="A1004" s="2">
        <v>44208.416701388887</v>
      </c>
      <c r="B1004" t="s">
        <v>1000</v>
      </c>
      <c r="C1004" t="s">
        <v>1982</v>
      </c>
      <c r="D1004" t="s">
        <v>2385</v>
      </c>
      <c r="F1004" t="str">
        <f>HYPERLINK("https://vsd.vn/vi/ad/77537","Link")</f>
        <v>Link</v>
      </c>
    </row>
    <row r="1005" spans="1:6" x14ac:dyDescent="0.25">
      <c r="A1005" s="2">
        <v>44208.333333333343</v>
      </c>
      <c r="B1005" t="s">
        <v>1001</v>
      </c>
      <c r="C1005" t="s">
        <v>1467</v>
      </c>
      <c r="D1005" t="s">
        <v>2389</v>
      </c>
      <c r="E1005" t="s">
        <v>2961</v>
      </c>
      <c r="F1005" t="str">
        <f>HYPERLINK("https://vsd.vn/vi/ad/77556","Link")</f>
        <v>Link</v>
      </c>
    </row>
    <row r="1006" spans="1:6" x14ac:dyDescent="0.25">
      <c r="A1006" s="2">
        <v>44207.698310185187</v>
      </c>
      <c r="B1006" t="s">
        <v>1002</v>
      </c>
      <c r="C1006" t="s">
        <v>1479</v>
      </c>
      <c r="D1006" t="s">
        <v>2391</v>
      </c>
      <c r="E1006" t="s">
        <v>2968</v>
      </c>
      <c r="F1006" t="str">
        <f>HYPERLINK("https://vsd.vn/vi/ad/77523","Link")</f>
        <v>Link</v>
      </c>
    </row>
    <row r="1007" spans="1:6" x14ac:dyDescent="0.25">
      <c r="A1007" s="2">
        <v>44204.765138888892</v>
      </c>
      <c r="B1007" t="s">
        <v>1003</v>
      </c>
      <c r="C1007" t="s">
        <v>1983</v>
      </c>
      <c r="D1007" t="s">
        <v>2391</v>
      </c>
      <c r="F1007" t="str">
        <f>HYPERLINK("https://vsd.vn/vi/ad/77498","Link")</f>
        <v>Link</v>
      </c>
    </row>
    <row r="1008" spans="1:6" x14ac:dyDescent="0.25">
      <c r="A1008" s="2">
        <v>44204.761990740742</v>
      </c>
      <c r="B1008" t="s">
        <v>1004</v>
      </c>
      <c r="C1008" t="s">
        <v>1984</v>
      </c>
      <c r="D1008" t="s">
        <v>2390</v>
      </c>
      <c r="F1008" t="str">
        <f>HYPERLINK("https://vsd.vn/vi/ad/77492","Link")</f>
        <v>Link</v>
      </c>
    </row>
    <row r="1009" spans="1:6" x14ac:dyDescent="0.25">
      <c r="A1009" s="2">
        <v>44204.757743055547</v>
      </c>
      <c r="B1009" t="s">
        <v>1005</v>
      </c>
      <c r="C1009" t="s">
        <v>1985</v>
      </c>
      <c r="D1009" t="s">
        <v>2391</v>
      </c>
      <c r="F1009" t="str">
        <f>HYPERLINK("https://vsd.vn/vi/ad/77501","Link")</f>
        <v>Link</v>
      </c>
    </row>
    <row r="1010" spans="1:6" x14ac:dyDescent="0.25">
      <c r="A1010" s="2">
        <v>44204.75341435185</v>
      </c>
      <c r="B1010" t="s">
        <v>1006</v>
      </c>
      <c r="C1010" t="s">
        <v>1986</v>
      </c>
      <c r="D1010" t="s">
        <v>2390</v>
      </c>
      <c r="F1010" t="str">
        <f>HYPERLINK("https://vsd.vn/vi/ad/77508","Link")</f>
        <v>Link</v>
      </c>
    </row>
    <row r="1011" spans="1:6" x14ac:dyDescent="0.25">
      <c r="A1011" s="2">
        <v>44204.725428240738</v>
      </c>
      <c r="B1011" t="s">
        <v>1007</v>
      </c>
      <c r="C1011" t="s">
        <v>1987</v>
      </c>
      <c r="D1011" t="s">
        <v>2389</v>
      </c>
      <c r="E1011" t="s">
        <v>2961</v>
      </c>
      <c r="F1011" t="str">
        <f>HYPERLINK("https://vsd.vn/vi/ad/77509","Link")</f>
        <v>Link</v>
      </c>
    </row>
    <row r="1012" spans="1:6" x14ac:dyDescent="0.25">
      <c r="A1012" s="2">
        <v>44204.720219907409</v>
      </c>
      <c r="B1012" t="s">
        <v>1008</v>
      </c>
      <c r="D1012" t="s">
        <v>2389</v>
      </c>
      <c r="F1012" t="str">
        <f>HYPERLINK("https://vsd.vn/vi/ad/77505","Link")</f>
        <v>Link</v>
      </c>
    </row>
    <row r="1013" spans="1:6" x14ac:dyDescent="0.25">
      <c r="A1013" s="2">
        <v>44204.717083333337</v>
      </c>
      <c r="B1013" t="s">
        <v>1009</v>
      </c>
      <c r="D1013" t="s">
        <v>2389</v>
      </c>
      <c r="F1013" t="str">
        <f>HYPERLINK("https://vsd.vn/vi/ad/77503","Link")</f>
        <v>Link</v>
      </c>
    </row>
    <row r="1014" spans="1:6" x14ac:dyDescent="0.25">
      <c r="A1014" s="2">
        <v>44204.697916666657</v>
      </c>
      <c r="B1014" t="s">
        <v>1010</v>
      </c>
      <c r="C1014" t="s">
        <v>1988</v>
      </c>
      <c r="D1014" t="s">
        <v>2389</v>
      </c>
      <c r="E1014" t="s">
        <v>2969</v>
      </c>
      <c r="F1014" t="str">
        <f>HYPERLINK("https://vsd.vn/vi/ad/77499","Link")</f>
        <v>Link</v>
      </c>
    </row>
    <row r="1015" spans="1:6" x14ac:dyDescent="0.25">
      <c r="A1015" s="2">
        <v>44204.410717592589</v>
      </c>
      <c r="B1015" t="s">
        <v>1011</v>
      </c>
      <c r="C1015" t="s">
        <v>1989</v>
      </c>
      <c r="D1015" t="s">
        <v>2392</v>
      </c>
      <c r="E1015" t="s">
        <v>2970</v>
      </c>
      <c r="F1015" t="str">
        <f>HYPERLINK("https://vsd.vn/vi/ad/77465","Link")</f>
        <v>Link</v>
      </c>
    </row>
    <row r="1016" spans="1:6" x14ac:dyDescent="0.25">
      <c r="A1016" s="2">
        <v>44203.776203703703</v>
      </c>
      <c r="B1016" t="s">
        <v>1012</v>
      </c>
      <c r="F1016" t="str">
        <f>HYPERLINK("https://vsd.vn/vi/ad/77463","Link")</f>
        <v>Link</v>
      </c>
    </row>
    <row r="1017" spans="1:6" x14ac:dyDescent="0.25">
      <c r="A1017" s="2">
        <v>44203.708472222221</v>
      </c>
      <c r="B1017" t="s">
        <v>1013</v>
      </c>
      <c r="C1017" t="s">
        <v>1479</v>
      </c>
      <c r="D1017" t="s">
        <v>2387</v>
      </c>
      <c r="E1017" t="s">
        <v>2963</v>
      </c>
      <c r="F1017" t="str">
        <f>HYPERLINK("https://vsd.vn/vi/ad/77455","Link")</f>
        <v>Link</v>
      </c>
    </row>
    <row r="1018" spans="1:6" x14ac:dyDescent="0.25">
      <c r="A1018" s="2">
        <v>44203.686249999999</v>
      </c>
      <c r="B1018" t="s">
        <v>1014</v>
      </c>
      <c r="C1018" t="s">
        <v>1990</v>
      </c>
      <c r="D1018" t="s">
        <v>2393</v>
      </c>
      <c r="F1018" t="str">
        <f>HYPERLINK("https://vsd.vn/vi/ad/77447","Link")</f>
        <v>Link</v>
      </c>
    </row>
    <row r="1019" spans="1:6" x14ac:dyDescent="0.25">
      <c r="A1019" s="2">
        <v>44203.65865740741</v>
      </c>
      <c r="B1019" t="s">
        <v>1015</v>
      </c>
      <c r="C1019" t="s">
        <v>1479</v>
      </c>
      <c r="D1019" t="s">
        <v>2393</v>
      </c>
      <c r="E1019" t="s">
        <v>2971</v>
      </c>
      <c r="F1019" t="str">
        <f>HYPERLINK("https://vsd.vn/vi/ad/77439","Link")</f>
        <v>Link</v>
      </c>
    </row>
    <row r="1020" spans="1:6" x14ac:dyDescent="0.25">
      <c r="A1020" s="2">
        <v>44203.517557870371</v>
      </c>
      <c r="B1020" t="s">
        <v>1016</v>
      </c>
      <c r="C1020" t="s">
        <v>1991</v>
      </c>
      <c r="D1020" t="s">
        <v>2393</v>
      </c>
      <c r="F1020" t="str">
        <f>HYPERLINK("https://vsd.vn/vi/ad/77436","Link")</f>
        <v>Link</v>
      </c>
    </row>
    <row r="1021" spans="1:6" x14ac:dyDescent="0.25">
      <c r="A1021" s="2">
        <v>44202.584166666667</v>
      </c>
      <c r="B1021" t="s">
        <v>1017</v>
      </c>
      <c r="C1021" t="s">
        <v>1967</v>
      </c>
      <c r="D1021" t="s">
        <v>2394</v>
      </c>
      <c r="F1021" t="str">
        <f>HYPERLINK("https://vsd.vn/vi/ad/77427","Link")</f>
        <v>Link</v>
      </c>
    </row>
    <row r="1022" spans="1:6" x14ac:dyDescent="0.25">
      <c r="A1022" s="2">
        <v>44202.581180555557</v>
      </c>
      <c r="B1022" t="s">
        <v>1018</v>
      </c>
      <c r="C1022" t="s">
        <v>1537</v>
      </c>
      <c r="D1022" t="s">
        <v>2390</v>
      </c>
      <c r="E1022" t="s">
        <v>2972</v>
      </c>
      <c r="F1022" t="str">
        <f>HYPERLINK("https://vsd.vn/vi/ad/77426","Link")</f>
        <v>Link</v>
      </c>
    </row>
    <row r="1023" spans="1:6" x14ac:dyDescent="0.25">
      <c r="A1023" s="2">
        <v>44201.699386574073</v>
      </c>
      <c r="B1023" t="s">
        <v>1019</v>
      </c>
      <c r="C1023" t="s">
        <v>1992</v>
      </c>
      <c r="D1023" t="s">
        <v>2394</v>
      </c>
      <c r="E1023" t="s">
        <v>2968</v>
      </c>
      <c r="F1023" t="str">
        <f>HYPERLINK("https://vsd.vn/vi/ad/77417","Link")</f>
        <v>Link</v>
      </c>
    </row>
    <row r="1024" spans="1:6" x14ac:dyDescent="0.25">
      <c r="A1024" s="2">
        <v>44201.647476851853</v>
      </c>
      <c r="B1024" t="s">
        <v>1020</v>
      </c>
      <c r="C1024" t="s">
        <v>1993</v>
      </c>
      <c r="D1024" t="s">
        <v>2394</v>
      </c>
      <c r="E1024" t="s">
        <v>2973</v>
      </c>
      <c r="F1024" t="str">
        <f>HYPERLINK("https://vsd.vn/vi/ad/77413","Link")</f>
        <v>Link</v>
      </c>
    </row>
    <row r="1025" spans="1:6" x14ac:dyDescent="0.25">
      <c r="A1025" s="2">
        <v>44201.573946759258</v>
      </c>
      <c r="B1025" t="s">
        <v>1021</v>
      </c>
      <c r="C1025" t="s">
        <v>1467</v>
      </c>
      <c r="D1025" t="s">
        <v>2387</v>
      </c>
      <c r="E1025" t="s">
        <v>2974</v>
      </c>
      <c r="F1025" t="str">
        <f>HYPERLINK("https://vsd.vn/vi/ad/77407","Link")</f>
        <v>Link</v>
      </c>
    </row>
    <row r="1026" spans="1:6" x14ac:dyDescent="0.25">
      <c r="A1026" s="2">
        <v>44200.693576388891</v>
      </c>
      <c r="B1026" t="s">
        <v>1022</v>
      </c>
      <c r="C1026" t="s">
        <v>1477</v>
      </c>
      <c r="D1026" t="s">
        <v>2393</v>
      </c>
      <c r="E1026" t="s">
        <v>2975</v>
      </c>
      <c r="F1026" t="str">
        <f>HYPERLINK("https://vsd.vn/vi/ad/77390","Link")</f>
        <v>Link</v>
      </c>
    </row>
    <row r="1027" spans="1:6" x14ac:dyDescent="0.25">
      <c r="A1027" s="2">
        <v>44196.757638888892</v>
      </c>
      <c r="B1027" t="s">
        <v>1023</v>
      </c>
      <c r="C1027" t="s">
        <v>1994</v>
      </c>
      <c r="F1027" t="str">
        <f>HYPERLINK("https://vsd.vn/vi/ad/77369","Link")</f>
        <v>Link</v>
      </c>
    </row>
    <row r="1028" spans="1:6" x14ac:dyDescent="0.25">
      <c r="A1028" s="2">
        <v>44196.746840277781</v>
      </c>
      <c r="B1028" t="s">
        <v>1024</v>
      </c>
      <c r="C1028" t="s">
        <v>1995</v>
      </c>
      <c r="D1028" t="s">
        <v>2395</v>
      </c>
      <c r="E1028" t="s">
        <v>2976</v>
      </c>
      <c r="F1028" t="str">
        <f>HYPERLINK("https://vsd.vn/vi/ad/77366","Link")</f>
        <v>Link</v>
      </c>
    </row>
    <row r="1029" spans="1:6" x14ac:dyDescent="0.25">
      <c r="A1029" s="2">
        <v>44196.746377314812</v>
      </c>
      <c r="B1029" t="s">
        <v>1025</v>
      </c>
      <c r="F1029" t="str">
        <f>HYPERLINK("https://vsd.vn/vi/ad/77363","Link")</f>
        <v>Link</v>
      </c>
    </row>
    <row r="1030" spans="1:6" x14ac:dyDescent="0.25">
      <c r="A1030" s="2">
        <v>44196.746099537027</v>
      </c>
      <c r="B1030" t="s">
        <v>1026</v>
      </c>
      <c r="C1030" t="s">
        <v>1996</v>
      </c>
      <c r="D1030" t="s">
        <v>2395</v>
      </c>
      <c r="F1030" t="str">
        <f>HYPERLINK("https://vsd.vn/vi/ad/77362","Link")</f>
        <v>Link</v>
      </c>
    </row>
    <row r="1031" spans="1:6" x14ac:dyDescent="0.25">
      <c r="A1031" s="2">
        <v>44196.745057870372</v>
      </c>
      <c r="B1031" t="s">
        <v>1027</v>
      </c>
      <c r="C1031" t="s">
        <v>1539</v>
      </c>
      <c r="D1031" t="s">
        <v>2392</v>
      </c>
      <c r="E1031" t="s">
        <v>2977</v>
      </c>
      <c r="F1031" t="str">
        <f>HYPERLINK("https://vsd.vn/vi/ad/77360","Link")</f>
        <v>Link</v>
      </c>
    </row>
    <row r="1032" spans="1:6" x14ac:dyDescent="0.25">
      <c r="A1032" s="2">
        <v>44196.670173611114</v>
      </c>
      <c r="B1032" t="s">
        <v>1028</v>
      </c>
      <c r="C1032" t="s">
        <v>1564</v>
      </c>
      <c r="D1032" t="s">
        <v>2396</v>
      </c>
      <c r="E1032" t="s">
        <v>2978</v>
      </c>
      <c r="F1032" t="str">
        <f>HYPERLINK("https://vsd.vn/vi/ad/77338","Link")</f>
        <v>Link</v>
      </c>
    </row>
    <row r="1033" spans="1:6" x14ac:dyDescent="0.25">
      <c r="A1033" s="2">
        <v>44196.66978009259</v>
      </c>
      <c r="B1033" t="s">
        <v>1029</v>
      </c>
      <c r="C1033" t="s">
        <v>1997</v>
      </c>
      <c r="D1033" t="s">
        <v>2391</v>
      </c>
      <c r="E1033" t="s">
        <v>2979</v>
      </c>
      <c r="F1033" t="str">
        <f>HYPERLINK("https://vsd.vn/vi/ad/77337","Link")</f>
        <v>Link</v>
      </c>
    </row>
    <row r="1034" spans="1:6" x14ac:dyDescent="0.25">
      <c r="A1034" s="2">
        <v>44196.639479166668</v>
      </c>
      <c r="B1034" t="s">
        <v>1030</v>
      </c>
      <c r="C1034" t="s">
        <v>1998</v>
      </c>
      <c r="D1034" t="s">
        <v>2396</v>
      </c>
      <c r="F1034" t="str">
        <f>HYPERLINK("https://vsd.vn/vi/ad/77335","Link")</f>
        <v>Link</v>
      </c>
    </row>
    <row r="1035" spans="1:6" x14ac:dyDescent="0.25">
      <c r="A1035" s="2">
        <v>44196.590081018519</v>
      </c>
      <c r="B1035" t="s">
        <v>1031</v>
      </c>
      <c r="C1035" t="s">
        <v>1494</v>
      </c>
      <c r="D1035" t="s">
        <v>2391</v>
      </c>
      <c r="E1035" t="s">
        <v>2976</v>
      </c>
      <c r="F1035" t="str">
        <f>HYPERLINK("https://vsd.vn/vi/ad/77295","Link")</f>
        <v>Link</v>
      </c>
    </row>
    <row r="1036" spans="1:6" x14ac:dyDescent="0.25">
      <c r="A1036" s="2">
        <v>44195.713252314818</v>
      </c>
      <c r="B1036" t="s">
        <v>1032</v>
      </c>
      <c r="C1036" t="s">
        <v>1999</v>
      </c>
      <c r="D1036" t="s">
        <v>2395</v>
      </c>
      <c r="F1036" t="str">
        <f>HYPERLINK("https://vsd.vn/vi/ad/77307","Link")</f>
        <v>Link</v>
      </c>
    </row>
    <row r="1037" spans="1:6" x14ac:dyDescent="0.25">
      <c r="A1037" s="2">
        <v>44195.697835648149</v>
      </c>
      <c r="B1037" t="s">
        <v>1033</v>
      </c>
      <c r="C1037" t="s">
        <v>1499</v>
      </c>
      <c r="D1037" t="s">
        <v>2396</v>
      </c>
      <c r="E1037" t="s">
        <v>2977</v>
      </c>
      <c r="F1037" t="str">
        <f>HYPERLINK("https://vsd.vn/vi/ad/77304","Link")</f>
        <v>Link</v>
      </c>
    </row>
    <row r="1038" spans="1:6" x14ac:dyDescent="0.25">
      <c r="A1038" s="2">
        <v>44195.69699074074</v>
      </c>
      <c r="B1038" t="s">
        <v>1034</v>
      </c>
      <c r="C1038" t="s">
        <v>2000</v>
      </c>
      <c r="F1038" t="str">
        <f>HYPERLINK("https://vsd.vn/vi/ad/77306","Link")</f>
        <v>Link</v>
      </c>
    </row>
    <row r="1039" spans="1:6" x14ac:dyDescent="0.25">
      <c r="A1039" s="2">
        <v>44195.679699074077</v>
      </c>
      <c r="B1039" t="s">
        <v>1035</v>
      </c>
      <c r="F1039" t="str">
        <f>HYPERLINK("https://vsd.vn/vi/ad/77301","Link")</f>
        <v>Link</v>
      </c>
    </row>
    <row r="1040" spans="1:6" x14ac:dyDescent="0.25">
      <c r="A1040" s="2">
        <v>44195.674814814818</v>
      </c>
      <c r="B1040" t="s">
        <v>1036</v>
      </c>
      <c r="C1040" t="s">
        <v>2001</v>
      </c>
      <c r="D1040" t="s">
        <v>2395</v>
      </c>
      <c r="F1040" t="str">
        <f>HYPERLINK("https://vsd.vn/vi/ad/77300","Link")</f>
        <v>Link</v>
      </c>
    </row>
    <row r="1041" spans="1:6" x14ac:dyDescent="0.25">
      <c r="A1041" s="2">
        <v>44195.636805555558</v>
      </c>
      <c r="B1041" t="s">
        <v>1037</v>
      </c>
      <c r="C1041" t="s">
        <v>1647</v>
      </c>
      <c r="D1041" t="s">
        <v>2395</v>
      </c>
      <c r="E1041" t="s">
        <v>2980</v>
      </c>
      <c r="F1041" t="str">
        <f>HYPERLINK("https://vsd.vn/vi/ad/77296","Link")</f>
        <v>Link</v>
      </c>
    </row>
    <row r="1042" spans="1:6" x14ac:dyDescent="0.25">
      <c r="A1042" s="2">
        <v>44195.626400462963</v>
      </c>
      <c r="B1042" t="s">
        <v>1038</v>
      </c>
      <c r="C1042" t="s">
        <v>1494</v>
      </c>
      <c r="D1042" t="s">
        <v>2394</v>
      </c>
      <c r="E1042" t="s">
        <v>2973</v>
      </c>
      <c r="F1042" t="str">
        <f>HYPERLINK("https://vsd.vn/vi/ad/77294","Link")</f>
        <v>Link</v>
      </c>
    </row>
    <row r="1043" spans="1:6" x14ac:dyDescent="0.25">
      <c r="A1043" s="2">
        <v>44195.46025462963</v>
      </c>
      <c r="B1043" t="s">
        <v>1039</v>
      </c>
      <c r="C1043" t="s">
        <v>1484</v>
      </c>
      <c r="D1043" t="s">
        <v>2395</v>
      </c>
      <c r="E1043" t="s">
        <v>2981</v>
      </c>
      <c r="F1043" t="str">
        <f>HYPERLINK("https://vsd.vn/vi/ad/77288","Link")</f>
        <v>Link</v>
      </c>
    </row>
    <row r="1044" spans="1:6" x14ac:dyDescent="0.25">
      <c r="A1044" s="2">
        <v>44195.369560185187</v>
      </c>
      <c r="B1044" t="s">
        <v>1040</v>
      </c>
      <c r="C1044" t="s">
        <v>1734</v>
      </c>
      <c r="D1044" t="s">
        <v>2393</v>
      </c>
      <c r="E1044" t="s">
        <v>2977</v>
      </c>
      <c r="F1044" t="str">
        <f>HYPERLINK("https://vsd.vn/vi/ad/77290","Link")</f>
        <v>Link</v>
      </c>
    </row>
    <row r="1045" spans="1:6" x14ac:dyDescent="0.25">
      <c r="A1045" s="2">
        <v>44195.364664351851</v>
      </c>
      <c r="B1045" t="s">
        <v>1041</v>
      </c>
      <c r="C1045" t="s">
        <v>1467</v>
      </c>
      <c r="D1045" t="s">
        <v>2397</v>
      </c>
      <c r="E1045" t="s">
        <v>2982</v>
      </c>
      <c r="F1045" t="str">
        <f>HYPERLINK("https://vsd.vn/vi/ad/77291","Link")</f>
        <v>Link</v>
      </c>
    </row>
    <row r="1046" spans="1:6" x14ac:dyDescent="0.25">
      <c r="A1046" s="2">
        <v>44194.693391203713</v>
      </c>
      <c r="B1046" t="s">
        <v>1042</v>
      </c>
      <c r="C1046" t="s">
        <v>1479</v>
      </c>
      <c r="D1046" t="s">
        <v>2398</v>
      </c>
      <c r="E1046" t="s">
        <v>2983</v>
      </c>
      <c r="F1046" t="str">
        <f>HYPERLINK("https://vsd.vn/vi/ad/77283","Link")</f>
        <v>Link</v>
      </c>
    </row>
    <row r="1047" spans="1:6" x14ac:dyDescent="0.25">
      <c r="A1047" s="2">
        <v>44194.692743055559</v>
      </c>
      <c r="B1047" t="s">
        <v>1043</v>
      </c>
      <c r="C1047" t="s">
        <v>2002</v>
      </c>
      <c r="D1047" t="s">
        <v>2399</v>
      </c>
      <c r="F1047" t="str">
        <f>HYPERLINK("https://vsd.vn/vi/ad/77284","Link")</f>
        <v>Link</v>
      </c>
    </row>
    <row r="1048" spans="1:6" x14ac:dyDescent="0.25">
      <c r="A1048" s="2">
        <v>44194.477546296293</v>
      </c>
      <c r="B1048" t="s">
        <v>1044</v>
      </c>
      <c r="F1048" t="str">
        <f>HYPERLINK("https://vsd.vn/vi/ad/77264","Link")</f>
        <v>Link</v>
      </c>
    </row>
    <row r="1049" spans="1:6" x14ac:dyDescent="0.25">
      <c r="A1049" s="2">
        <v>44194.472256944442</v>
      </c>
      <c r="B1049" t="s">
        <v>1045</v>
      </c>
      <c r="C1049" t="s">
        <v>2003</v>
      </c>
      <c r="D1049" t="s">
        <v>2398</v>
      </c>
      <c r="E1049" t="s">
        <v>2983</v>
      </c>
      <c r="F1049" t="str">
        <f>HYPERLINK("https://vsd.vn/vi/ad/77266","Link")</f>
        <v>Link</v>
      </c>
    </row>
    <row r="1050" spans="1:6" x14ac:dyDescent="0.25">
      <c r="A1050" s="2">
        <v>44194.471990740742</v>
      </c>
      <c r="B1050" t="s">
        <v>1046</v>
      </c>
      <c r="E1050" t="s">
        <v>2984</v>
      </c>
      <c r="F1050" t="str">
        <f>HYPERLINK("https://vsd.vn/vi/ad/77268","Link")</f>
        <v>Link</v>
      </c>
    </row>
    <row r="1051" spans="1:6" x14ac:dyDescent="0.25">
      <c r="A1051" s="2">
        <v>44193.727361111109</v>
      </c>
      <c r="B1051" t="s">
        <v>1047</v>
      </c>
      <c r="E1051" t="s">
        <v>2985</v>
      </c>
      <c r="F1051" t="str">
        <f>HYPERLINK("https://vsd.vn/vi/ad/77257","Link")</f>
        <v>Link</v>
      </c>
    </row>
    <row r="1052" spans="1:6" x14ac:dyDescent="0.25">
      <c r="A1052" s="2">
        <v>44193.715914351851</v>
      </c>
      <c r="B1052" t="s">
        <v>1048</v>
      </c>
      <c r="C1052" t="s">
        <v>2004</v>
      </c>
      <c r="D1052" t="s">
        <v>2395</v>
      </c>
      <c r="E1052" t="s">
        <v>2986</v>
      </c>
      <c r="F1052" t="str">
        <f>HYPERLINK("https://vsd.vn/vi/ad/77254","Link")</f>
        <v>Link</v>
      </c>
    </row>
    <row r="1053" spans="1:6" x14ac:dyDescent="0.25">
      <c r="A1053" s="2">
        <v>44190.745300925933</v>
      </c>
      <c r="B1053" t="s">
        <v>1049</v>
      </c>
      <c r="C1053" t="s">
        <v>2005</v>
      </c>
      <c r="D1053" t="s">
        <v>2400</v>
      </c>
      <c r="F1053" t="str">
        <f>HYPERLINK("https://vsd.vn/vi/ad/77241","Link")</f>
        <v>Link</v>
      </c>
    </row>
    <row r="1054" spans="1:6" x14ac:dyDescent="0.25">
      <c r="A1054" s="2">
        <v>44190.729166666657</v>
      </c>
      <c r="B1054" t="s">
        <v>1050</v>
      </c>
      <c r="C1054" t="s">
        <v>2006</v>
      </c>
      <c r="D1054" t="s">
        <v>2398</v>
      </c>
      <c r="F1054" t="str">
        <f>HYPERLINK("https://vsd.vn/vi/ad/77247","Link")</f>
        <v>Link</v>
      </c>
    </row>
    <row r="1055" spans="1:6" x14ac:dyDescent="0.25">
      <c r="A1055" s="2">
        <v>44190.71634259259</v>
      </c>
      <c r="B1055" t="s">
        <v>1051</v>
      </c>
      <c r="C1055" t="s">
        <v>2007</v>
      </c>
      <c r="D1055" t="s">
        <v>2395</v>
      </c>
      <c r="E1055" t="s">
        <v>2975</v>
      </c>
      <c r="F1055" t="str">
        <f>HYPERLINK("https://vsd.vn/vi/ad/77232","Link")</f>
        <v>Link</v>
      </c>
    </row>
    <row r="1056" spans="1:6" x14ac:dyDescent="0.25">
      <c r="A1056" s="2">
        <v>44190.672893518517</v>
      </c>
      <c r="B1056" t="s">
        <v>1052</v>
      </c>
      <c r="C1056" t="s">
        <v>1480</v>
      </c>
      <c r="D1056" t="s">
        <v>2399</v>
      </c>
      <c r="E1056" t="s">
        <v>2972</v>
      </c>
      <c r="F1056" t="str">
        <f>HYPERLINK("https://vsd.vn/vi/ad/77221","Link")</f>
        <v>Link</v>
      </c>
    </row>
    <row r="1057" spans="1:6" x14ac:dyDescent="0.25">
      <c r="A1057" s="2">
        <v>44190.657488425917</v>
      </c>
      <c r="B1057" t="s">
        <v>1053</v>
      </c>
      <c r="C1057" t="s">
        <v>2008</v>
      </c>
      <c r="D1057" t="s">
        <v>2401</v>
      </c>
      <c r="F1057" t="str">
        <f>HYPERLINK("https://vsd.vn/vi/ad/77218","Link")</f>
        <v>Link</v>
      </c>
    </row>
    <row r="1058" spans="1:6" x14ac:dyDescent="0.25">
      <c r="A1058" s="2">
        <v>44190.657071759262</v>
      </c>
      <c r="B1058" t="s">
        <v>1054</v>
      </c>
      <c r="C1058" t="s">
        <v>1479</v>
      </c>
      <c r="D1058" t="s">
        <v>2397</v>
      </c>
      <c r="E1058" t="s">
        <v>2968</v>
      </c>
      <c r="F1058" t="str">
        <f>HYPERLINK("https://vsd.vn/vi/ad/77214","Link")</f>
        <v>Link</v>
      </c>
    </row>
    <row r="1059" spans="1:6" x14ac:dyDescent="0.25">
      <c r="A1059" s="2">
        <v>44190.655624999999</v>
      </c>
      <c r="B1059" t="s">
        <v>1055</v>
      </c>
      <c r="F1059" t="str">
        <f>HYPERLINK("https://vsd.vn/vi/ad/77219","Link")</f>
        <v>Link</v>
      </c>
    </row>
    <row r="1060" spans="1:6" x14ac:dyDescent="0.25">
      <c r="A1060" s="2">
        <v>44190.642326388886</v>
      </c>
      <c r="B1060" t="s">
        <v>1056</v>
      </c>
      <c r="C1060" t="s">
        <v>1506</v>
      </c>
      <c r="D1060" t="s">
        <v>2402</v>
      </c>
      <c r="E1060" t="s">
        <v>2987</v>
      </c>
      <c r="F1060" t="str">
        <f>HYPERLINK("https://vsd.vn/vi/ad/77177","Link")</f>
        <v>Link</v>
      </c>
    </row>
    <row r="1061" spans="1:6" x14ac:dyDescent="0.25">
      <c r="A1061" s="2">
        <v>44190.467673611107</v>
      </c>
      <c r="B1061" t="s">
        <v>1057</v>
      </c>
      <c r="C1061" t="s">
        <v>2009</v>
      </c>
      <c r="D1061" t="s">
        <v>2401</v>
      </c>
      <c r="F1061" t="str">
        <f>HYPERLINK("https://vsd.vn/vi/ad/77211","Link")</f>
        <v>Link</v>
      </c>
    </row>
    <row r="1062" spans="1:6" x14ac:dyDescent="0.25">
      <c r="A1062" s="2">
        <v>44190.466041666667</v>
      </c>
      <c r="B1062" t="s">
        <v>1058</v>
      </c>
      <c r="C1062" t="s">
        <v>1716</v>
      </c>
      <c r="D1062" t="s">
        <v>2400</v>
      </c>
      <c r="E1062" t="s">
        <v>2988</v>
      </c>
      <c r="F1062" t="str">
        <f>HYPERLINK("https://vsd.vn/vi/ad/77210","Link")</f>
        <v>Link</v>
      </c>
    </row>
    <row r="1063" spans="1:6" x14ac:dyDescent="0.25">
      <c r="A1063" s="2">
        <v>44190.38690972222</v>
      </c>
      <c r="B1063" t="s">
        <v>1059</v>
      </c>
      <c r="C1063" t="s">
        <v>2010</v>
      </c>
      <c r="D1063" t="s">
        <v>2402</v>
      </c>
      <c r="F1063" t="str">
        <f>HYPERLINK("https://vsd.vn/vi/ad/77195","Link")</f>
        <v>Link</v>
      </c>
    </row>
    <row r="1064" spans="1:6" x14ac:dyDescent="0.25">
      <c r="A1064" s="2">
        <v>44189.679016203707</v>
      </c>
      <c r="B1064" t="s">
        <v>1060</v>
      </c>
      <c r="C1064" t="s">
        <v>2011</v>
      </c>
      <c r="D1064" t="s">
        <v>2395</v>
      </c>
      <c r="E1064" t="s">
        <v>2989</v>
      </c>
      <c r="F1064" t="str">
        <f>HYPERLINK("https://vsd.vn/vi/ad/77184","Link")</f>
        <v>Link</v>
      </c>
    </row>
    <row r="1065" spans="1:6" x14ac:dyDescent="0.25">
      <c r="A1065" s="2">
        <v>44189.656990740739</v>
      </c>
      <c r="B1065" t="s">
        <v>1061</v>
      </c>
      <c r="E1065" t="s">
        <v>2990</v>
      </c>
      <c r="F1065" t="str">
        <f>HYPERLINK("https://vsd.vn/vi/ad/77179","Link")</f>
        <v>Link</v>
      </c>
    </row>
    <row r="1066" spans="1:6" x14ac:dyDescent="0.25">
      <c r="A1066" s="2">
        <v>44189.593761574077</v>
      </c>
      <c r="B1066" t="s">
        <v>1062</v>
      </c>
      <c r="C1066" t="s">
        <v>1494</v>
      </c>
      <c r="D1066" t="s">
        <v>2397</v>
      </c>
      <c r="E1066" t="s">
        <v>2991</v>
      </c>
      <c r="F1066" t="str">
        <f>HYPERLINK("https://vsd.vn/vi/ad/77176","Link")</f>
        <v>Link</v>
      </c>
    </row>
    <row r="1067" spans="1:6" x14ac:dyDescent="0.25">
      <c r="A1067" s="2">
        <v>44189.485520833332</v>
      </c>
      <c r="B1067" t="s">
        <v>1063</v>
      </c>
      <c r="E1067" t="s">
        <v>2992</v>
      </c>
      <c r="F1067" t="str">
        <f>HYPERLINK("https://vsd.vn/vi/ad/77166","Link")</f>
        <v>Link</v>
      </c>
    </row>
    <row r="1068" spans="1:6" x14ac:dyDescent="0.25">
      <c r="A1068" s="2">
        <v>44189.458333333343</v>
      </c>
      <c r="B1068" t="s">
        <v>1064</v>
      </c>
      <c r="C1068" t="s">
        <v>2012</v>
      </c>
      <c r="D1068" t="s">
        <v>2403</v>
      </c>
      <c r="F1068" t="str">
        <f>HYPERLINK("https://vsd.vn/vi/ad/77161","Link")</f>
        <v>Link</v>
      </c>
    </row>
    <row r="1069" spans="1:6" x14ac:dyDescent="0.25">
      <c r="A1069" s="2">
        <v>44189.447395833333</v>
      </c>
      <c r="B1069" t="s">
        <v>1065</v>
      </c>
      <c r="C1069" t="s">
        <v>2013</v>
      </c>
      <c r="D1069" t="s">
        <v>2402</v>
      </c>
      <c r="E1069" t="s">
        <v>2993</v>
      </c>
      <c r="F1069" t="str">
        <f>HYPERLINK("https://vsd.vn/vi/ad/77150","Link")</f>
        <v>Link</v>
      </c>
    </row>
    <row r="1070" spans="1:6" x14ac:dyDescent="0.25">
      <c r="A1070" s="2">
        <v>44188.705381944441</v>
      </c>
      <c r="B1070" t="s">
        <v>1066</v>
      </c>
      <c r="C1070" t="s">
        <v>1966</v>
      </c>
      <c r="D1070" t="s">
        <v>2399</v>
      </c>
      <c r="E1070" t="s">
        <v>2994</v>
      </c>
      <c r="F1070" t="str">
        <f>HYPERLINK("https://vsd.vn/vi/ad/77153","Link")</f>
        <v>Link</v>
      </c>
    </row>
    <row r="1071" spans="1:6" x14ac:dyDescent="0.25">
      <c r="A1071" s="2">
        <v>44188.701145833344</v>
      </c>
      <c r="B1071" t="s">
        <v>1067</v>
      </c>
      <c r="C1071" t="s">
        <v>2014</v>
      </c>
      <c r="D1071" t="s">
        <v>2400</v>
      </c>
      <c r="E1071" t="s">
        <v>2995</v>
      </c>
      <c r="F1071" t="str">
        <f>HYPERLINK("https://vsd.vn/vi/ad/77152","Link")</f>
        <v>Link</v>
      </c>
    </row>
    <row r="1072" spans="1:6" x14ac:dyDescent="0.25">
      <c r="A1072" s="2">
        <v>44188.698842592603</v>
      </c>
      <c r="B1072" t="s">
        <v>1068</v>
      </c>
      <c r="F1072" t="str">
        <f>HYPERLINK("https://vsd.vn/vi/ad/77151","Link")</f>
        <v>Link</v>
      </c>
    </row>
    <row r="1073" spans="1:6" x14ac:dyDescent="0.25">
      <c r="A1073" s="2">
        <v>44188.690787037027</v>
      </c>
      <c r="B1073" t="s">
        <v>1069</v>
      </c>
      <c r="E1073" t="s">
        <v>2996</v>
      </c>
      <c r="F1073" t="str">
        <f>HYPERLINK("https://vsd.vn/vi/ad/77144","Link")</f>
        <v>Link</v>
      </c>
    </row>
    <row r="1074" spans="1:6" x14ac:dyDescent="0.25">
      <c r="A1074" s="2">
        <v>44188.685266203713</v>
      </c>
      <c r="B1074" t="s">
        <v>1070</v>
      </c>
      <c r="C1074" t="s">
        <v>2015</v>
      </c>
      <c r="D1074" t="s">
        <v>2400</v>
      </c>
      <c r="F1074" t="str">
        <f>HYPERLINK("https://vsd.vn/vi/ad/77145","Link")</f>
        <v>Link</v>
      </c>
    </row>
    <row r="1075" spans="1:6" x14ac:dyDescent="0.25">
      <c r="A1075" s="2">
        <v>44188.675324074073</v>
      </c>
      <c r="B1075" t="s">
        <v>1071</v>
      </c>
      <c r="E1075" t="s">
        <v>2997</v>
      </c>
      <c r="F1075" t="str">
        <f>HYPERLINK("https://vsd.vn/vi/ad/77146","Link")</f>
        <v>Link</v>
      </c>
    </row>
    <row r="1076" spans="1:6" x14ac:dyDescent="0.25">
      <c r="A1076" s="2">
        <v>44188.668333333328</v>
      </c>
      <c r="B1076" t="s">
        <v>1072</v>
      </c>
      <c r="E1076" t="s">
        <v>2998</v>
      </c>
      <c r="F1076" t="str">
        <f>HYPERLINK("https://vsd.vn/vi/ad/77143","Link")</f>
        <v>Link</v>
      </c>
    </row>
    <row r="1077" spans="1:6" x14ac:dyDescent="0.25">
      <c r="A1077" s="2">
        <v>44188.658090277779</v>
      </c>
      <c r="B1077" t="s">
        <v>1073</v>
      </c>
      <c r="E1077" t="s">
        <v>2999</v>
      </c>
      <c r="F1077" t="str">
        <f>HYPERLINK("https://vsd.vn/vi/ad/77142","Link")</f>
        <v>Link</v>
      </c>
    </row>
    <row r="1078" spans="1:6" x14ac:dyDescent="0.25">
      <c r="A1078" s="2">
        <v>44188.428379629629</v>
      </c>
      <c r="B1078" t="s">
        <v>1074</v>
      </c>
      <c r="C1078" t="s">
        <v>1468</v>
      </c>
      <c r="D1078" t="s">
        <v>2400</v>
      </c>
      <c r="E1078" t="s">
        <v>2991</v>
      </c>
      <c r="F1078" t="str">
        <f>HYPERLINK("https://vsd.vn/vi/ad/77125","Link")</f>
        <v>Link</v>
      </c>
    </row>
    <row r="1079" spans="1:6" x14ac:dyDescent="0.25">
      <c r="A1079" s="2">
        <v>44188.404965277783</v>
      </c>
      <c r="B1079" t="s">
        <v>1075</v>
      </c>
      <c r="C1079" t="s">
        <v>2016</v>
      </c>
      <c r="D1079" t="s">
        <v>2393</v>
      </c>
      <c r="E1079" t="s">
        <v>2979</v>
      </c>
      <c r="F1079" t="str">
        <f>HYPERLINK("https://vsd.vn/vi/ad/77131","Link")</f>
        <v>Link</v>
      </c>
    </row>
    <row r="1080" spans="1:6" x14ac:dyDescent="0.25">
      <c r="A1080" s="2">
        <v>44187.700960648152</v>
      </c>
      <c r="B1080" t="s">
        <v>1076</v>
      </c>
      <c r="C1080" t="s">
        <v>1731</v>
      </c>
      <c r="D1080" t="s">
        <v>2404</v>
      </c>
      <c r="E1080" t="s">
        <v>3000</v>
      </c>
      <c r="F1080" t="str">
        <f>HYPERLINK("https://vsd.vn/vi/ad/77127","Link")</f>
        <v>Link</v>
      </c>
    </row>
    <row r="1081" spans="1:6" x14ac:dyDescent="0.25">
      <c r="A1081" s="2">
        <v>44187.684664351851</v>
      </c>
      <c r="B1081" t="s">
        <v>1077</v>
      </c>
      <c r="E1081" t="s">
        <v>3001</v>
      </c>
      <c r="F1081" t="str">
        <f>HYPERLINK("https://vsd.vn/vi/ad/77123","Link")</f>
        <v>Link</v>
      </c>
    </row>
    <row r="1082" spans="1:6" x14ac:dyDescent="0.25">
      <c r="A1082" s="2">
        <v>44187.660509259258</v>
      </c>
      <c r="B1082" t="s">
        <v>1078</v>
      </c>
      <c r="C1082" t="s">
        <v>1494</v>
      </c>
      <c r="D1082" t="s">
        <v>2403</v>
      </c>
      <c r="E1082" t="s">
        <v>3002</v>
      </c>
      <c r="F1082" t="str">
        <f>HYPERLINK("https://vsd.vn/vi/ad/77119","Link")</f>
        <v>Link</v>
      </c>
    </row>
    <row r="1083" spans="1:6" x14ac:dyDescent="0.25">
      <c r="A1083" s="2">
        <v>44187.651134259257</v>
      </c>
      <c r="B1083" t="s">
        <v>1079</v>
      </c>
      <c r="C1083" t="s">
        <v>2017</v>
      </c>
      <c r="D1083" t="s">
        <v>2404</v>
      </c>
      <c r="F1083" t="str">
        <f>HYPERLINK("https://vsd.vn/vi/ad/77114","Link")</f>
        <v>Link</v>
      </c>
    </row>
    <row r="1084" spans="1:6" x14ac:dyDescent="0.25">
      <c r="A1084" s="2">
        <v>44187.475590277783</v>
      </c>
      <c r="B1084" t="s">
        <v>1080</v>
      </c>
      <c r="C1084" t="s">
        <v>1479</v>
      </c>
      <c r="D1084" t="s">
        <v>2398</v>
      </c>
      <c r="E1084" t="s">
        <v>2973</v>
      </c>
      <c r="F1084" t="str">
        <f>HYPERLINK("https://vsd.vn/vi/ad/77091","Link")</f>
        <v>Link</v>
      </c>
    </row>
    <row r="1085" spans="1:6" x14ac:dyDescent="0.25">
      <c r="A1085" s="2">
        <v>44187.409849537027</v>
      </c>
      <c r="B1085" t="s">
        <v>1081</v>
      </c>
      <c r="C1085" t="s">
        <v>2018</v>
      </c>
      <c r="D1085" t="s">
        <v>2403</v>
      </c>
      <c r="E1085" t="s">
        <v>3003</v>
      </c>
      <c r="F1085" t="str">
        <f>HYPERLINK("https://vsd.vn/vi/ad/77109","Link")</f>
        <v>Link</v>
      </c>
    </row>
    <row r="1086" spans="1:6" x14ac:dyDescent="0.25">
      <c r="A1086" s="2">
        <v>44187.409143518518</v>
      </c>
      <c r="B1086" t="s">
        <v>1082</v>
      </c>
      <c r="C1086" t="s">
        <v>1780</v>
      </c>
      <c r="D1086" t="s">
        <v>2405</v>
      </c>
      <c r="E1086" t="s">
        <v>2982</v>
      </c>
      <c r="F1086" t="str">
        <f>HYPERLINK("https://vsd.vn/vi/ad/77108","Link")</f>
        <v>Link</v>
      </c>
    </row>
    <row r="1087" spans="1:6" x14ac:dyDescent="0.25">
      <c r="A1087" s="2">
        <v>44186.695196759261</v>
      </c>
      <c r="B1087" t="s">
        <v>1083</v>
      </c>
      <c r="C1087" t="s">
        <v>2019</v>
      </c>
      <c r="D1087" t="s">
        <v>2404</v>
      </c>
      <c r="E1087" t="s">
        <v>3004</v>
      </c>
      <c r="F1087" t="str">
        <f>HYPERLINK("https://vsd.vn/vi/ad/77094","Link")</f>
        <v>Link</v>
      </c>
    </row>
    <row r="1088" spans="1:6" x14ac:dyDescent="0.25">
      <c r="A1088" s="2">
        <v>44186.638321759259</v>
      </c>
      <c r="B1088" t="s">
        <v>1084</v>
      </c>
      <c r="F1088" t="str">
        <f>HYPERLINK("https://vsd.vn/vi/ad/77074","Link")</f>
        <v>Link</v>
      </c>
    </row>
    <row r="1089" spans="1:6" x14ac:dyDescent="0.25">
      <c r="A1089" s="2">
        <v>44186.631701388891</v>
      </c>
      <c r="B1089" t="s">
        <v>1085</v>
      </c>
      <c r="C1089" t="s">
        <v>2020</v>
      </c>
      <c r="D1089" t="s">
        <v>2400</v>
      </c>
      <c r="F1089" t="str">
        <f>HYPERLINK("https://vsd.vn/vi/ad/77077","Link")</f>
        <v>Link</v>
      </c>
    </row>
    <row r="1090" spans="1:6" x14ac:dyDescent="0.25">
      <c r="A1090" s="2">
        <v>44183.72146990741</v>
      </c>
      <c r="B1090" t="s">
        <v>1086</v>
      </c>
      <c r="C1090" t="s">
        <v>2021</v>
      </c>
      <c r="D1090" t="s">
        <v>2403</v>
      </c>
      <c r="F1090" t="str">
        <f>HYPERLINK("https://vsd.vn/vi/ad/77056","Link")</f>
        <v>Link</v>
      </c>
    </row>
    <row r="1091" spans="1:6" x14ac:dyDescent="0.25">
      <c r="A1091" s="2">
        <v>44183.71634259259</v>
      </c>
      <c r="B1091" t="s">
        <v>1087</v>
      </c>
      <c r="C1091" t="s">
        <v>2022</v>
      </c>
      <c r="D1091" t="s">
        <v>2406</v>
      </c>
      <c r="F1091" t="str">
        <f>HYPERLINK("https://vsd.vn/vi/ad/77057","Link")</f>
        <v>Link</v>
      </c>
    </row>
    <row r="1092" spans="1:6" x14ac:dyDescent="0.25">
      <c r="A1092" s="2">
        <v>44183.711805555547</v>
      </c>
      <c r="B1092" t="s">
        <v>353</v>
      </c>
      <c r="E1092" t="s">
        <v>3005</v>
      </c>
      <c r="F1092" t="str">
        <f>HYPERLINK("https://vsd.vn/vi/ad/77075","Link")</f>
        <v>Link</v>
      </c>
    </row>
    <row r="1093" spans="1:6" x14ac:dyDescent="0.25">
      <c r="A1093" s="2">
        <v>44183.709849537037</v>
      </c>
      <c r="B1093" t="s">
        <v>1088</v>
      </c>
      <c r="F1093" t="str">
        <f>HYPERLINK("https://vsd.vn/vi/ad/77055","Link")</f>
        <v>Link</v>
      </c>
    </row>
    <row r="1094" spans="1:6" x14ac:dyDescent="0.25">
      <c r="A1094" s="2">
        <v>44183.690775462957</v>
      </c>
      <c r="B1094" t="s">
        <v>1089</v>
      </c>
      <c r="C1094" t="s">
        <v>2023</v>
      </c>
      <c r="D1094" t="s">
        <v>2406</v>
      </c>
      <c r="F1094" t="str">
        <f>HYPERLINK("https://vsd.vn/vi/ad/77058","Link")</f>
        <v>Link</v>
      </c>
    </row>
    <row r="1095" spans="1:6" x14ac:dyDescent="0.25">
      <c r="A1095" s="2">
        <v>44183.655497685177</v>
      </c>
      <c r="B1095" t="s">
        <v>1090</v>
      </c>
      <c r="C1095" t="s">
        <v>1650</v>
      </c>
      <c r="D1095" t="s">
        <v>2406</v>
      </c>
      <c r="F1095" t="str">
        <f>HYPERLINK("https://vsd.vn/vi/ad/77036","Link")</f>
        <v>Link</v>
      </c>
    </row>
    <row r="1096" spans="1:6" x14ac:dyDescent="0.25">
      <c r="A1096" s="2">
        <v>44183.634652777779</v>
      </c>
      <c r="B1096" t="s">
        <v>1091</v>
      </c>
      <c r="C1096" t="s">
        <v>1479</v>
      </c>
      <c r="D1096" t="s">
        <v>2405</v>
      </c>
      <c r="E1096" t="s">
        <v>2968</v>
      </c>
      <c r="F1096" t="str">
        <f>HYPERLINK("https://vsd.vn/vi/ad/77039","Link")</f>
        <v>Link</v>
      </c>
    </row>
    <row r="1097" spans="1:6" x14ac:dyDescent="0.25">
      <c r="A1097" s="2">
        <v>44183.633935185193</v>
      </c>
      <c r="B1097" t="s">
        <v>1092</v>
      </c>
      <c r="C1097" t="s">
        <v>2024</v>
      </c>
      <c r="D1097" t="s">
        <v>2405</v>
      </c>
      <c r="E1097" t="s">
        <v>3006</v>
      </c>
      <c r="F1097" t="str">
        <f>HYPERLINK("https://vsd.vn/vi/ad/77038","Link")</f>
        <v>Link</v>
      </c>
    </row>
    <row r="1098" spans="1:6" x14ac:dyDescent="0.25">
      <c r="A1098" s="2">
        <v>44183.611388888887</v>
      </c>
      <c r="B1098" t="s">
        <v>1093</v>
      </c>
      <c r="C1098" t="s">
        <v>2025</v>
      </c>
      <c r="D1098" t="s">
        <v>2403</v>
      </c>
      <c r="F1098" t="str">
        <f>HYPERLINK("https://vsd.vn/vi/ad/77035","Link")</f>
        <v>Link</v>
      </c>
    </row>
    <row r="1099" spans="1:6" x14ac:dyDescent="0.25">
      <c r="A1099" s="2">
        <v>44182.733888888892</v>
      </c>
      <c r="B1099" t="s">
        <v>1094</v>
      </c>
      <c r="C1099" t="s">
        <v>2026</v>
      </c>
      <c r="D1099" t="s">
        <v>2407</v>
      </c>
      <c r="F1099" t="str">
        <f>HYPERLINK("https://vsd.vn/vi/ad/77000","Link")</f>
        <v>Link</v>
      </c>
    </row>
    <row r="1100" spans="1:6" x14ac:dyDescent="0.25">
      <c r="A1100" s="2">
        <v>44182.73228009259</v>
      </c>
      <c r="B1100" t="s">
        <v>1095</v>
      </c>
      <c r="C1100" t="s">
        <v>2027</v>
      </c>
      <c r="D1100" t="s">
        <v>2406</v>
      </c>
      <c r="F1100" t="str">
        <f>HYPERLINK("https://vsd.vn/vi/ad/77001","Link")</f>
        <v>Link</v>
      </c>
    </row>
    <row r="1101" spans="1:6" x14ac:dyDescent="0.25">
      <c r="A1101" s="2">
        <v>44182.698148148149</v>
      </c>
      <c r="B1101" t="s">
        <v>1096</v>
      </c>
      <c r="F1101" t="str">
        <f>HYPERLINK("https://vsd.vn/vi/ad/76999","Link")</f>
        <v>Link</v>
      </c>
    </row>
    <row r="1102" spans="1:6" x14ac:dyDescent="0.25">
      <c r="A1102" s="2">
        <v>44182.440949074073</v>
      </c>
      <c r="B1102" t="s">
        <v>1097</v>
      </c>
      <c r="C1102" t="s">
        <v>1745</v>
      </c>
      <c r="D1102" t="s">
        <v>2408</v>
      </c>
      <c r="E1102" t="s">
        <v>3007</v>
      </c>
      <c r="F1102" t="str">
        <f>HYPERLINK("https://vsd.vn/vi/ad/76965","Link")</f>
        <v>Link</v>
      </c>
    </row>
    <row r="1103" spans="1:6" x14ac:dyDescent="0.25">
      <c r="A1103" s="2">
        <v>44181.679270833331</v>
      </c>
      <c r="B1103" t="s">
        <v>1098</v>
      </c>
      <c r="F1103" t="str">
        <f>HYPERLINK("https://vsd.vn/vi/ad/76969","Link")</f>
        <v>Link</v>
      </c>
    </row>
    <row r="1104" spans="1:6" x14ac:dyDescent="0.25">
      <c r="A1104" s="2">
        <v>44181.676585648151</v>
      </c>
      <c r="B1104" t="s">
        <v>1067</v>
      </c>
      <c r="C1104" t="s">
        <v>2014</v>
      </c>
      <c r="D1104" t="s">
        <v>2402</v>
      </c>
      <c r="E1104" t="s">
        <v>2995</v>
      </c>
      <c r="F1104" t="str">
        <f>HYPERLINK("https://vsd.vn/vi/ad/76968","Link")</f>
        <v>Link</v>
      </c>
    </row>
    <row r="1105" spans="1:6" x14ac:dyDescent="0.25">
      <c r="A1105" s="2">
        <v>44181.665590277778</v>
      </c>
      <c r="B1105" t="s">
        <v>1099</v>
      </c>
      <c r="C1105" t="s">
        <v>2028</v>
      </c>
      <c r="D1105" t="s">
        <v>2406</v>
      </c>
      <c r="E1105" t="s">
        <v>2973</v>
      </c>
      <c r="F1105" t="str">
        <f>HYPERLINK("https://vsd.vn/vi/ad/76963","Link")</f>
        <v>Link</v>
      </c>
    </row>
    <row r="1106" spans="1:6" x14ac:dyDescent="0.25">
      <c r="A1106" s="2">
        <v>44181.646886574083</v>
      </c>
      <c r="B1106" t="s">
        <v>1100</v>
      </c>
      <c r="C1106" t="s">
        <v>2029</v>
      </c>
      <c r="D1106" t="s">
        <v>2403</v>
      </c>
      <c r="E1106" t="s">
        <v>3008</v>
      </c>
      <c r="F1106" t="str">
        <f>HYPERLINK("https://vsd.vn/vi/ad/76960","Link")</f>
        <v>Link</v>
      </c>
    </row>
    <row r="1107" spans="1:6" x14ac:dyDescent="0.25">
      <c r="A1107" s="2">
        <v>44181.639780092592</v>
      </c>
      <c r="B1107" t="s">
        <v>1101</v>
      </c>
      <c r="C1107" t="s">
        <v>1982</v>
      </c>
      <c r="D1107" t="s">
        <v>2407</v>
      </c>
      <c r="F1107" t="str">
        <f>HYPERLINK("https://vsd.vn/vi/ad/76958","Link")</f>
        <v>Link</v>
      </c>
    </row>
    <row r="1108" spans="1:6" x14ac:dyDescent="0.25">
      <c r="A1108" s="2">
        <v>44181.589108796303</v>
      </c>
      <c r="B1108" t="s">
        <v>272</v>
      </c>
      <c r="E1108" t="s">
        <v>3009</v>
      </c>
      <c r="F1108" t="str">
        <f>HYPERLINK("https://vsd.vn/vi/ad/76933","Link")</f>
        <v>Link</v>
      </c>
    </row>
    <row r="1109" spans="1:6" x14ac:dyDescent="0.25">
      <c r="A1109" s="2">
        <v>44181.588275462957</v>
      </c>
      <c r="B1109" t="s">
        <v>1102</v>
      </c>
      <c r="C1109" t="s">
        <v>1895</v>
      </c>
      <c r="D1109" t="s">
        <v>2402</v>
      </c>
      <c r="E1109" t="s">
        <v>3010</v>
      </c>
      <c r="F1109" t="str">
        <f>HYPERLINK("https://vsd.vn/vi/ad/76932","Link")</f>
        <v>Link</v>
      </c>
    </row>
    <row r="1110" spans="1:6" x14ac:dyDescent="0.25">
      <c r="A1110" s="2">
        <v>44181.389108796298</v>
      </c>
      <c r="B1110" t="s">
        <v>1103</v>
      </c>
      <c r="C1110" t="s">
        <v>1638</v>
      </c>
      <c r="D1110" t="s">
        <v>2403</v>
      </c>
      <c r="E1110" t="s">
        <v>2979</v>
      </c>
      <c r="F1110" t="str">
        <f>HYPERLINK("https://vsd.vn/vi/ad/76944","Link")</f>
        <v>Link</v>
      </c>
    </row>
    <row r="1111" spans="1:6" x14ac:dyDescent="0.25">
      <c r="A1111" s="2">
        <v>44180.686342592591</v>
      </c>
      <c r="B1111" t="s">
        <v>1104</v>
      </c>
      <c r="C1111" t="s">
        <v>2030</v>
      </c>
      <c r="D1111" t="s">
        <v>2403</v>
      </c>
      <c r="E1111" t="s">
        <v>3011</v>
      </c>
      <c r="F1111" t="str">
        <f>HYPERLINK("https://vsd.vn/vi/ad/76939","Link")</f>
        <v>Link</v>
      </c>
    </row>
    <row r="1112" spans="1:6" x14ac:dyDescent="0.25">
      <c r="A1112" s="2">
        <v>44180.476504629631</v>
      </c>
      <c r="B1112" t="s">
        <v>1105</v>
      </c>
      <c r="C1112" t="s">
        <v>2031</v>
      </c>
      <c r="D1112" t="s">
        <v>2400</v>
      </c>
      <c r="E1112" t="s">
        <v>3012</v>
      </c>
      <c r="F1112" t="str">
        <f>HYPERLINK("https://vsd.vn/vi/ad/76927","Link")</f>
        <v>Link</v>
      </c>
    </row>
    <row r="1113" spans="1:6" x14ac:dyDescent="0.25">
      <c r="A1113" s="2">
        <v>44180.474675925929</v>
      </c>
      <c r="B1113" t="s">
        <v>1106</v>
      </c>
      <c r="C1113" t="s">
        <v>1484</v>
      </c>
      <c r="D1113" t="s">
        <v>2408</v>
      </c>
      <c r="E1113" t="s">
        <v>3007</v>
      </c>
      <c r="F1113" t="str">
        <f>HYPERLINK("https://vsd.vn/vi/ad/76926","Link")</f>
        <v>Link</v>
      </c>
    </row>
    <row r="1114" spans="1:6" x14ac:dyDescent="0.25">
      <c r="A1114" s="2">
        <v>44180.446817129632</v>
      </c>
      <c r="B1114" t="s">
        <v>1107</v>
      </c>
      <c r="C1114" t="s">
        <v>2032</v>
      </c>
      <c r="D1114" t="s">
        <v>2403</v>
      </c>
      <c r="E1114" t="s">
        <v>2981</v>
      </c>
      <c r="F1114" t="str">
        <f>HYPERLINK("https://vsd.vn/vi/ad/76917","Link")</f>
        <v>Link</v>
      </c>
    </row>
    <row r="1115" spans="1:6" x14ac:dyDescent="0.25">
      <c r="A1115" s="2">
        <v>44179.716099537043</v>
      </c>
      <c r="B1115" t="s">
        <v>1108</v>
      </c>
      <c r="C1115" t="s">
        <v>2031</v>
      </c>
      <c r="D1115" t="s">
        <v>2409</v>
      </c>
      <c r="F1115" t="str">
        <f>HYPERLINK("https://vsd.vn/vi/ad/76916","Link")</f>
        <v>Link</v>
      </c>
    </row>
    <row r="1116" spans="1:6" x14ac:dyDescent="0.25">
      <c r="A1116" s="2">
        <v>44179.66547453704</v>
      </c>
      <c r="B1116" t="s">
        <v>1109</v>
      </c>
      <c r="C1116" t="s">
        <v>1728</v>
      </c>
      <c r="D1116" t="s">
        <v>2408</v>
      </c>
      <c r="F1116" t="str">
        <f>HYPERLINK("https://vsd.vn/vi/ad/76910","Link")</f>
        <v>Link</v>
      </c>
    </row>
    <row r="1117" spans="1:6" x14ac:dyDescent="0.25">
      <c r="A1117" s="2">
        <v>44179.665069444447</v>
      </c>
      <c r="B1117" t="s">
        <v>964</v>
      </c>
      <c r="F1117" t="str">
        <f>HYPERLINK("https://vsd.vn/vi/ad/76904","Link")</f>
        <v>Link</v>
      </c>
    </row>
    <row r="1118" spans="1:6" x14ac:dyDescent="0.25">
      <c r="A1118" s="2">
        <v>44179.659907407397</v>
      </c>
      <c r="B1118" t="s">
        <v>1110</v>
      </c>
      <c r="C1118" t="s">
        <v>2033</v>
      </c>
      <c r="D1118" t="s">
        <v>2410</v>
      </c>
      <c r="E1118" t="s">
        <v>3013</v>
      </c>
      <c r="F1118" t="str">
        <f>HYPERLINK("https://vsd.vn/vi/ad/76908","Link")</f>
        <v>Link</v>
      </c>
    </row>
    <row r="1119" spans="1:6" x14ac:dyDescent="0.25">
      <c r="A1119" s="2">
        <v>44176.704907407409</v>
      </c>
      <c r="B1119" t="s">
        <v>1111</v>
      </c>
      <c r="C1119" t="s">
        <v>1467</v>
      </c>
      <c r="D1119" t="s">
        <v>2408</v>
      </c>
      <c r="E1119" t="s">
        <v>3014</v>
      </c>
      <c r="F1119" t="str">
        <f>HYPERLINK("https://vsd.vn/vi/ad/76851","Link")</f>
        <v>Link</v>
      </c>
    </row>
    <row r="1120" spans="1:6" x14ac:dyDescent="0.25">
      <c r="A1120" s="2">
        <v>44176.698958333327</v>
      </c>
      <c r="B1120" t="s">
        <v>1112</v>
      </c>
      <c r="C1120" t="s">
        <v>1494</v>
      </c>
      <c r="D1120" t="s">
        <v>2407</v>
      </c>
      <c r="E1120" t="s">
        <v>3014</v>
      </c>
      <c r="F1120" t="str">
        <f>HYPERLINK("https://vsd.vn/vi/ad/76862","Link")</f>
        <v>Link</v>
      </c>
    </row>
    <row r="1121" spans="1:6" x14ac:dyDescent="0.25">
      <c r="A1121" s="2">
        <v>44176.686296296299</v>
      </c>
      <c r="B1121" t="s">
        <v>1113</v>
      </c>
      <c r="C1121" t="s">
        <v>1467</v>
      </c>
      <c r="D1121" t="s">
        <v>2400</v>
      </c>
      <c r="E1121" t="s">
        <v>3015</v>
      </c>
      <c r="F1121" t="str">
        <f>HYPERLINK("https://vsd.vn/vi/ad/76888","Link")</f>
        <v>Link</v>
      </c>
    </row>
    <row r="1122" spans="1:6" x14ac:dyDescent="0.25">
      <c r="A1122" s="2">
        <v>44176.627511574072</v>
      </c>
      <c r="B1122" t="s">
        <v>1114</v>
      </c>
      <c r="C1122" t="s">
        <v>1689</v>
      </c>
      <c r="D1122" t="s">
        <v>2411</v>
      </c>
      <c r="E1122" t="s">
        <v>3016</v>
      </c>
      <c r="F1122" t="str">
        <f>HYPERLINK("https://vsd.vn/vi/ad/76848","Link")</f>
        <v>Link</v>
      </c>
    </row>
    <row r="1123" spans="1:6" x14ac:dyDescent="0.25">
      <c r="A1123" s="2">
        <v>44176.600335648152</v>
      </c>
      <c r="B1123" t="s">
        <v>1115</v>
      </c>
      <c r="C1123" t="s">
        <v>2034</v>
      </c>
      <c r="D1123" t="s">
        <v>2412</v>
      </c>
      <c r="E1123" t="s">
        <v>3017</v>
      </c>
      <c r="F1123" t="str">
        <f>HYPERLINK("https://vsd.vn/vi/ad/76846","Link")</f>
        <v>Link</v>
      </c>
    </row>
    <row r="1124" spans="1:6" x14ac:dyDescent="0.25">
      <c r="A1124" s="2">
        <v>44176.452916666669</v>
      </c>
      <c r="B1124" t="s">
        <v>1116</v>
      </c>
      <c r="D1124" t="s">
        <v>2413</v>
      </c>
      <c r="E1124" t="s">
        <v>3018</v>
      </c>
      <c r="F1124" t="str">
        <f>HYPERLINK("https://vsd.vn/vi/ad/76820","Link")</f>
        <v>Link</v>
      </c>
    </row>
    <row r="1125" spans="1:6" x14ac:dyDescent="0.25">
      <c r="A1125" s="2">
        <v>44176.452476851853</v>
      </c>
      <c r="B1125" t="s">
        <v>1117</v>
      </c>
      <c r="C1125" t="s">
        <v>2035</v>
      </c>
      <c r="D1125" t="s">
        <v>2412</v>
      </c>
      <c r="E1125" t="s">
        <v>3019</v>
      </c>
      <c r="F1125" t="str">
        <f>HYPERLINK("https://vsd.vn/vi/ad/76815","Link")</f>
        <v>Link</v>
      </c>
    </row>
    <row r="1126" spans="1:6" x14ac:dyDescent="0.25">
      <c r="A1126" s="2">
        <v>44175.680127314823</v>
      </c>
      <c r="B1126" t="s">
        <v>1118</v>
      </c>
      <c r="C1126" t="s">
        <v>1485</v>
      </c>
      <c r="D1126" t="s">
        <v>2413</v>
      </c>
      <c r="E1126" t="s">
        <v>3020</v>
      </c>
      <c r="F1126" t="str">
        <f>HYPERLINK("https://vsd.vn/vi/ad/76810","Link")</f>
        <v>Link</v>
      </c>
    </row>
    <row r="1127" spans="1:6" x14ac:dyDescent="0.25">
      <c r="A1127" s="2">
        <v>44175.643946759257</v>
      </c>
      <c r="B1127" t="s">
        <v>1119</v>
      </c>
      <c r="C1127" t="s">
        <v>1468</v>
      </c>
      <c r="D1127" t="s">
        <v>2411</v>
      </c>
      <c r="E1127" t="s">
        <v>2993</v>
      </c>
      <c r="F1127" t="str">
        <f>HYPERLINK("https://vsd.vn/vi/ad/76801","Link")</f>
        <v>Link</v>
      </c>
    </row>
    <row r="1128" spans="1:6" x14ac:dyDescent="0.25">
      <c r="A1128" s="2">
        <v>44175.568726851852</v>
      </c>
      <c r="B1128" t="s">
        <v>1120</v>
      </c>
      <c r="C1128" t="s">
        <v>2036</v>
      </c>
      <c r="D1128" t="s">
        <v>2411</v>
      </c>
      <c r="E1128" t="s">
        <v>3021</v>
      </c>
      <c r="F1128" t="str">
        <f>HYPERLINK("https://vsd.vn/vi/ad/76796","Link")</f>
        <v>Link</v>
      </c>
    </row>
    <row r="1129" spans="1:6" x14ac:dyDescent="0.25">
      <c r="A1129" s="2">
        <v>44175.46303240741</v>
      </c>
      <c r="B1129" t="s">
        <v>1121</v>
      </c>
      <c r="C1129" t="s">
        <v>2037</v>
      </c>
      <c r="D1129" t="s">
        <v>2408</v>
      </c>
      <c r="F1129" t="str">
        <f>HYPERLINK("https://vsd.vn/vi/ad/76795","Link")</f>
        <v>Link</v>
      </c>
    </row>
    <row r="1130" spans="1:6" x14ac:dyDescent="0.25">
      <c r="A1130" s="2">
        <v>44175.459340277783</v>
      </c>
      <c r="B1130" t="s">
        <v>1122</v>
      </c>
      <c r="C1130" t="s">
        <v>2038</v>
      </c>
      <c r="D1130" t="s">
        <v>2411</v>
      </c>
      <c r="E1130" t="s">
        <v>3022</v>
      </c>
      <c r="F1130" t="str">
        <f>HYPERLINK("https://vsd.vn/vi/ad/76794","Link")</f>
        <v>Link</v>
      </c>
    </row>
    <row r="1131" spans="1:6" x14ac:dyDescent="0.25">
      <c r="A1131" s="2">
        <v>44175.448344907411</v>
      </c>
      <c r="B1131" t="s">
        <v>1123</v>
      </c>
      <c r="E1131" t="s">
        <v>3023</v>
      </c>
      <c r="F1131" t="str">
        <f>HYPERLINK("https://vsd.vn/vi/ad/76786","Link")</f>
        <v>Link</v>
      </c>
    </row>
    <row r="1132" spans="1:6" x14ac:dyDescent="0.25">
      <c r="A1132" s="2">
        <v>44175.447511574072</v>
      </c>
      <c r="B1132" t="s">
        <v>1124</v>
      </c>
      <c r="C1132" t="s">
        <v>1479</v>
      </c>
      <c r="D1132" t="s">
        <v>2414</v>
      </c>
      <c r="E1132" t="s">
        <v>3024</v>
      </c>
      <c r="F1132" t="str">
        <f>HYPERLINK("https://vsd.vn/vi/ad/76787","Link")</f>
        <v>Link</v>
      </c>
    </row>
    <row r="1133" spans="1:6" x14ac:dyDescent="0.25">
      <c r="A1133" s="2">
        <v>44174.709456018521</v>
      </c>
      <c r="B1133" t="s">
        <v>1125</v>
      </c>
      <c r="F1133" t="str">
        <f>HYPERLINK("https://vsd.vn/vi/ad/76785","Link")</f>
        <v>Link</v>
      </c>
    </row>
    <row r="1134" spans="1:6" x14ac:dyDescent="0.25">
      <c r="A1134" s="2">
        <v>44174.708981481483</v>
      </c>
      <c r="B1134" t="s">
        <v>1126</v>
      </c>
      <c r="C1134" t="s">
        <v>2039</v>
      </c>
      <c r="D1134" t="s">
        <v>2412</v>
      </c>
      <c r="E1134" t="s">
        <v>3025</v>
      </c>
      <c r="F1134" t="str">
        <f>HYPERLINK("https://vsd.vn/vi/ad/76784","Link")</f>
        <v>Link</v>
      </c>
    </row>
    <row r="1135" spans="1:6" x14ac:dyDescent="0.25">
      <c r="A1135" s="2">
        <v>44174.690810185188</v>
      </c>
      <c r="B1135" t="s">
        <v>1127</v>
      </c>
      <c r="C1135" t="s">
        <v>1468</v>
      </c>
      <c r="D1135" t="s">
        <v>2413</v>
      </c>
      <c r="E1135" t="s">
        <v>3026</v>
      </c>
      <c r="F1135" t="str">
        <f>HYPERLINK("https://vsd.vn/vi/ad/76781","Link")</f>
        <v>Link</v>
      </c>
    </row>
    <row r="1136" spans="1:6" x14ac:dyDescent="0.25">
      <c r="A1136" s="2">
        <v>44174.678310185183</v>
      </c>
      <c r="B1136" t="s">
        <v>1128</v>
      </c>
      <c r="C1136" t="s">
        <v>1467</v>
      </c>
      <c r="D1136" t="s">
        <v>2414</v>
      </c>
      <c r="E1136" t="s">
        <v>3027</v>
      </c>
      <c r="F1136" t="str">
        <f>HYPERLINK("https://vsd.vn/vi/ad/76771","Link")</f>
        <v>Link</v>
      </c>
    </row>
    <row r="1137" spans="1:6" x14ac:dyDescent="0.25">
      <c r="A1137" s="2">
        <v>44174.666006944448</v>
      </c>
      <c r="B1137" t="s">
        <v>1129</v>
      </c>
      <c r="C1137" t="s">
        <v>2040</v>
      </c>
      <c r="D1137" t="s">
        <v>2403</v>
      </c>
      <c r="E1137" t="s">
        <v>3028</v>
      </c>
      <c r="F1137" t="str">
        <f>HYPERLINK("https://vsd.vn/vi/ad/76778","Link")</f>
        <v>Link</v>
      </c>
    </row>
    <row r="1138" spans="1:6" x14ac:dyDescent="0.25">
      <c r="A1138" s="2">
        <v>44174.649629629632</v>
      </c>
      <c r="B1138" t="s">
        <v>1130</v>
      </c>
      <c r="C1138" t="s">
        <v>2041</v>
      </c>
      <c r="D1138" t="s">
        <v>2414</v>
      </c>
      <c r="E1138" t="s">
        <v>3029</v>
      </c>
      <c r="F1138" t="str">
        <f>HYPERLINK("https://vsd.vn/vi/ad/76777","Link")</f>
        <v>Link</v>
      </c>
    </row>
    <row r="1139" spans="1:6" x14ac:dyDescent="0.25">
      <c r="A1139" s="2">
        <v>44174.637974537043</v>
      </c>
      <c r="B1139" t="s">
        <v>1131</v>
      </c>
      <c r="C1139" t="s">
        <v>2042</v>
      </c>
      <c r="D1139" t="s">
        <v>2413</v>
      </c>
      <c r="E1139" t="s">
        <v>3026</v>
      </c>
      <c r="F1139" t="str">
        <f>HYPERLINK("https://vsd.vn/vi/ad/76775","Link")</f>
        <v>Link</v>
      </c>
    </row>
    <row r="1140" spans="1:6" x14ac:dyDescent="0.25">
      <c r="A1140" s="2">
        <v>44174.579953703702</v>
      </c>
      <c r="B1140" t="s">
        <v>1132</v>
      </c>
      <c r="C1140" t="s">
        <v>1494</v>
      </c>
      <c r="D1140" t="s">
        <v>2408</v>
      </c>
      <c r="E1140" t="s">
        <v>3007</v>
      </c>
      <c r="F1140" t="str">
        <f>HYPERLINK("https://vsd.vn/vi/ad/76772","Link")</f>
        <v>Link</v>
      </c>
    </row>
    <row r="1141" spans="1:6" x14ac:dyDescent="0.25">
      <c r="A1141" s="2">
        <v>44174.579548611109</v>
      </c>
      <c r="B1141" t="s">
        <v>1133</v>
      </c>
      <c r="C1141" t="s">
        <v>1525</v>
      </c>
      <c r="D1141" t="s">
        <v>2405</v>
      </c>
      <c r="E1141" t="s">
        <v>2993</v>
      </c>
      <c r="F1141" t="str">
        <f>HYPERLINK("https://vsd.vn/vi/ad/76773","Link")</f>
        <v>Link</v>
      </c>
    </row>
    <row r="1142" spans="1:6" x14ac:dyDescent="0.25">
      <c r="A1142" s="2">
        <v>44174.474907407413</v>
      </c>
      <c r="B1142" t="s">
        <v>1134</v>
      </c>
      <c r="E1142" t="s">
        <v>3030</v>
      </c>
      <c r="F1142" t="str">
        <f>HYPERLINK("https://vsd.vn/vi/ad/76769","Link")</f>
        <v>Link</v>
      </c>
    </row>
    <row r="1143" spans="1:6" x14ac:dyDescent="0.25">
      <c r="A1143" s="2">
        <v>44174.440729166658</v>
      </c>
      <c r="B1143" t="s">
        <v>1135</v>
      </c>
      <c r="F1143" t="str">
        <f>HYPERLINK("https://vsd.vn/vi/ad/76766","Link")</f>
        <v>Link</v>
      </c>
    </row>
    <row r="1144" spans="1:6" x14ac:dyDescent="0.25">
      <c r="A1144" s="2">
        <v>44174.432037037041</v>
      </c>
      <c r="B1144" t="s">
        <v>1136</v>
      </c>
      <c r="C1144" t="s">
        <v>1467</v>
      </c>
      <c r="D1144" t="s">
        <v>2415</v>
      </c>
      <c r="E1144" t="s">
        <v>3031</v>
      </c>
      <c r="F1144" t="str">
        <f>HYPERLINK("https://vsd.vn/vi/ad/76765","Link")</f>
        <v>Link</v>
      </c>
    </row>
    <row r="1145" spans="1:6" x14ac:dyDescent="0.25">
      <c r="A1145" s="2">
        <v>44173.704606481479</v>
      </c>
      <c r="B1145" t="s">
        <v>1137</v>
      </c>
      <c r="C1145" t="s">
        <v>1798</v>
      </c>
      <c r="D1145" t="s">
        <v>2401</v>
      </c>
      <c r="E1145" t="s">
        <v>3032</v>
      </c>
      <c r="F1145" t="str">
        <f>HYPERLINK("https://vsd.vn/vi/ad/76757","Link")</f>
        <v>Link</v>
      </c>
    </row>
    <row r="1146" spans="1:6" x14ac:dyDescent="0.25">
      <c r="A1146" s="2">
        <v>44173.469548611109</v>
      </c>
      <c r="B1146" t="s">
        <v>1138</v>
      </c>
      <c r="C1146" t="s">
        <v>1703</v>
      </c>
      <c r="D1146" t="s">
        <v>2413</v>
      </c>
      <c r="E1146" t="s">
        <v>3033</v>
      </c>
      <c r="F1146" t="str">
        <f>HYPERLINK("https://vsd.vn/vi/ad/76750","Link")</f>
        <v>Link</v>
      </c>
    </row>
    <row r="1147" spans="1:6" x14ac:dyDescent="0.25">
      <c r="A1147" s="2">
        <v>44173.414525462962</v>
      </c>
      <c r="B1147" t="s">
        <v>1139</v>
      </c>
      <c r="C1147" t="s">
        <v>2043</v>
      </c>
      <c r="D1147" t="s">
        <v>2414</v>
      </c>
      <c r="E1147" t="s">
        <v>3034</v>
      </c>
      <c r="F1147" t="str">
        <f>HYPERLINK("https://vsd.vn/vi/ad/76751","Link")</f>
        <v>Link</v>
      </c>
    </row>
    <row r="1148" spans="1:6" x14ac:dyDescent="0.25">
      <c r="A1148" s="2">
        <v>44172.740393518521</v>
      </c>
      <c r="B1148" t="s">
        <v>1140</v>
      </c>
      <c r="F1148" t="str">
        <f>HYPERLINK("https://vsd.vn/vi/ad/76743","Link")</f>
        <v>Link</v>
      </c>
    </row>
    <row r="1149" spans="1:6" x14ac:dyDescent="0.25">
      <c r="A1149" s="2">
        <v>44172.654027777768</v>
      </c>
      <c r="B1149" t="s">
        <v>1141</v>
      </c>
      <c r="C1149" t="s">
        <v>2044</v>
      </c>
      <c r="D1149" t="s">
        <v>2407</v>
      </c>
      <c r="E1149" t="s">
        <v>3035</v>
      </c>
      <c r="F1149" t="str">
        <f>HYPERLINK("https://vsd.vn/vi/ad/76731","Link")</f>
        <v>Link</v>
      </c>
    </row>
    <row r="1150" spans="1:6" x14ac:dyDescent="0.25">
      <c r="A1150" s="2">
        <v>44169.689247685194</v>
      </c>
      <c r="B1150" t="s">
        <v>964</v>
      </c>
      <c r="F1150" t="str">
        <f>HYPERLINK("https://vsd.vn/vi/ad/76715","Link")</f>
        <v>Link</v>
      </c>
    </row>
    <row r="1151" spans="1:6" x14ac:dyDescent="0.25">
      <c r="A1151" s="2">
        <v>44169.636261574073</v>
      </c>
      <c r="B1151" t="s">
        <v>1142</v>
      </c>
      <c r="C1151" t="s">
        <v>1467</v>
      </c>
      <c r="D1151" t="s">
        <v>2416</v>
      </c>
      <c r="E1151" t="s">
        <v>3036</v>
      </c>
      <c r="F1151" t="str">
        <f>HYPERLINK("https://vsd.vn/vi/ad/76702","Link")</f>
        <v>Link</v>
      </c>
    </row>
    <row r="1152" spans="1:6" x14ac:dyDescent="0.25">
      <c r="A1152" s="2">
        <v>44169.634479166663</v>
      </c>
      <c r="B1152" t="s">
        <v>1143</v>
      </c>
      <c r="C1152" t="s">
        <v>1484</v>
      </c>
      <c r="D1152" t="s">
        <v>2416</v>
      </c>
      <c r="E1152" t="s">
        <v>3037</v>
      </c>
      <c r="F1152" t="str">
        <f>HYPERLINK("https://vsd.vn/vi/ad/76705","Link")</f>
        <v>Link</v>
      </c>
    </row>
    <row r="1153" spans="1:6" x14ac:dyDescent="0.25">
      <c r="A1153" s="2">
        <v>44169.633923611109</v>
      </c>
      <c r="B1153" t="s">
        <v>1144</v>
      </c>
      <c r="C1153" t="s">
        <v>2045</v>
      </c>
      <c r="D1153" t="s">
        <v>2415</v>
      </c>
      <c r="E1153" t="s">
        <v>3031</v>
      </c>
      <c r="F1153" t="str">
        <f>HYPERLINK("https://vsd.vn/vi/ad/76706","Link")</f>
        <v>Link</v>
      </c>
    </row>
    <row r="1154" spans="1:6" x14ac:dyDescent="0.25">
      <c r="A1154" s="2">
        <v>44169.633136574077</v>
      </c>
      <c r="B1154" t="s">
        <v>1145</v>
      </c>
      <c r="C1154" t="s">
        <v>2046</v>
      </c>
      <c r="D1154" t="s">
        <v>2414</v>
      </c>
      <c r="E1154" t="s">
        <v>3038</v>
      </c>
      <c r="F1154" t="str">
        <f>HYPERLINK("https://vsd.vn/vi/ad/76710","Link")</f>
        <v>Link</v>
      </c>
    </row>
    <row r="1155" spans="1:6" x14ac:dyDescent="0.25">
      <c r="A1155" s="2">
        <v>44169.632291666669</v>
      </c>
      <c r="B1155" t="s">
        <v>1146</v>
      </c>
      <c r="C1155" t="s">
        <v>1480</v>
      </c>
      <c r="D1155" t="s">
        <v>2412</v>
      </c>
      <c r="E1155" t="s">
        <v>3039</v>
      </c>
      <c r="F1155" t="str">
        <f>HYPERLINK("https://vsd.vn/vi/ad/76711","Link")</f>
        <v>Link</v>
      </c>
    </row>
    <row r="1156" spans="1:6" x14ac:dyDescent="0.25">
      <c r="A1156" s="2">
        <v>44169.630706018521</v>
      </c>
      <c r="B1156" t="s">
        <v>1147</v>
      </c>
      <c r="C1156" t="s">
        <v>2047</v>
      </c>
      <c r="D1156" t="s">
        <v>2417</v>
      </c>
      <c r="E1156" t="s">
        <v>3040</v>
      </c>
      <c r="F1156" t="str">
        <f>HYPERLINK("https://vsd.vn/vi/ad/76709","Link")</f>
        <v>Link</v>
      </c>
    </row>
    <row r="1157" spans="1:6" x14ac:dyDescent="0.25">
      <c r="A1157" s="2">
        <v>44169.416006944448</v>
      </c>
      <c r="B1157" t="s">
        <v>1148</v>
      </c>
      <c r="C1157" t="s">
        <v>1494</v>
      </c>
      <c r="D1157" t="s">
        <v>2417</v>
      </c>
      <c r="E1157" t="s">
        <v>3007</v>
      </c>
      <c r="F1157" t="str">
        <f>HYPERLINK("https://vsd.vn/vi/ad/76668","Link")</f>
        <v>Link</v>
      </c>
    </row>
    <row r="1158" spans="1:6" x14ac:dyDescent="0.25">
      <c r="A1158" s="2">
        <v>44168.682696759257</v>
      </c>
      <c r="B1158" t="s">
        <v>1149</v>
      </c>
      <c r="C1158" t="s">
        <v>1689</v>
      </c>
      <c r="D1158" t="s">
        <v>2413</v>
      </c>
      <c r="E1158" t="s">
        <v>3041</v>
      </c>
      <c r="F1158" t="str">
        <f>HYPERLINK("https://vsd.vn/vi/ad/76691","Link")</f>
        <v>Link</v>
      </c>
    </row>
    <row r="1159" spans="1:6" x14ac:dyDescent="0.25">
      <c r="A1159" s="2">
        <v>44168.682037037041</v>
      </c>
      <c r="B1159" t="s">
        <v>1150</v>
      </c>
      <c r="C1159" t="s">
        <v>2048</v>
      </c>
      <c r="D1159" t="s">
        <v>2418</v>
      </c>
      <c r="E1159" t="s">
        <v>3042</v>
      </c>
      <c r="F1159" t="str">
        <f>HYPERLINK("https://vsd.vn/vi/ad/76687","Link")</f>
        <v>Link</v>
      </c>
    </row>
    <row r="1160" spans="1:6" x14ac:dyDescent="0.25">
      <c r="A1160" s="2">
        <v>44168.679027777784</v>
      </c>
      <c r="B1160" t="s">
        <v>1151</v>
      </c>
      <c r="C1160" t="s">
        <v>2049</v>
      </c>
      <c r="D1160" t="s">
        <v>2415</v>
      </c>
      <c r="E1160" t="s">
        <v>3013</v>
      </c>
      <c r="F1160" t="str">
        <f>HYPERLINK("https://vsd.vn/vi/ad/76686","Link")</f>
        <v>Link</v>
      </c>
    </row>
    <row r="1161" spans="1:6" x14ac:dyDescent="0.25">
      <c r="A1161" s="2">
        <v>44168.677488425928</v>
      </c>
      <c r="B1161" t="s">
        <v>1152</v>
      </c>
      <c r="C1161" t="s">
        <v>2050</v>
      </c>
      <c r="D1161" t="s">
        <v>2418</v>
      </c>
      <c r="E1161" t="s">
        <v>3043</v>
      </c>
      <c r="F1161" t="str">
        <f>HYPERLINK("https://vsd.vn/vi/ad/76689","Link")</f>
        <v>Link</v>
      </c>
    </row>
    <row r="1162" spans="1:6" x14ac:dyDescent="0.25">
      <c r="A1162" s="2">
        <v>44168.520590277767</v>
      </c>
      <c r="B1162" t="s">
        <v>1153</v>
      </c>
      <c r="C1162" t="s">
        <v>1512</v>
      </c>
      <c r="D1162" t="s">
        <v>2419</v>
      </c>
      <c r="E1162" t="s">
        <v>3040</v>
      </c>
      <c r="F1162" t="str">
        <f>HYPERLINK("https://vsd.vn/vi/ad/76665","Link")</f>
        <v>Link</v>
      </c>
    </row>
    <row r="1163" spans="1:6" x14ac:dyDescent="0.25">
      <c r="A1163" s="2">
        <v>44167.718229166669</v>
      </c>
      <c r="B1163" t="s">
        <v>1154</v>
      </c>
      <c r="C1163" t="s">
        <v>2051</v>
      </c>
      <c r="D1163" t="s">
        <v>2416</v>
      </c>
      <c r="E1163" t="s">
        <v>3044</v>
      </c>
      <c r="F1163" t="str">
        <f>HYPERLINK("https://vsd.vn/vi/ad/76650","Link")</f>
        <v>Link</v>
      </c>
    </row>
    <row r="1164" spans="1:6" x14ac:dyDescent="0.25">
      <c r="A1164" s="2">
        <v>44167.665370370371</v>
      </c>
      <c r="B1164" t="s">
        <v>1155</v>
      </c>
      <c r="C1164" t="s">
        <v>1494</v>
      </c>
      <c r="D1164" t="s">
        <v>2403</v>
      </c>
      <c r="E1164" t="s">
        <v>3045</v>
      </c>
      <c r="F1164" t="str">
        <f>HYPERLINK("https://vsd.vn/vi/ad/76638","Link")</f>
        <v>Link</v>
      </c>
    </row>
    <row r="1165" spans="1:6" x14ac:dyDescent="0.25">
      <c r="A1165" s="2">
        <v>44167.661273148151</v>
      </c>
      <c r="B1165" t="s">
        <v>1156</v>
      </c>
      <c r="C1165" t="s">
        <v>2052</v>
      </c>
      <c r="D1165" t="s">
        <v>2419</v>
      </c>
      <c r="E1165" t="s">
        <v>3036</v>
      </c>
      <c r="F1165" t="str">
        <f>HYPERLINK("https://vsd.vn/vi/ad/76637","Link")</f>
        <v>Link</v>
      </c>
    </row>
    <row r="1166" spans="1:6" x14ac:dyDescent="0.25">
      <c r="A1166" s="2">
        <v>44167.660833333342</v>
      </c>
      <c r="B1166" t="s">
        <v>1157</v>
      </c>
      <c r="C1166" t="s">
        <v>1648</v>
      </c>
      <c r="D1166" t="s">
        <v>2414</v>
      </c>
      <c r="E1166" t="s">
        <v>2968</v>
      </c>
      <c r="F1166" t="str">
        <f>HYPERLINK("https://vsd.vn/vi/ad/76636","Link")</f>
        <v>Link</v>
      </c>
    </row>
    <row r="1167" spans="1:6" x14ac:dyDescent="0.25">
      <c r="A1167" s="2">
        <v>44167.660138888888</v>
      </c>
      <c r="B1167" t="s">
        <v>1158</v>
      </c>
      <c r="C1167" t="s">
        <v>1745</v>
      </c>
      <c r="D1167" t="s">
        <v>2415</v>
      </c>
      <c r="E1167" t="s">
        <v>3013</v>
      </c>
      <c r="F1167" t="str">
        <f>HYPERLINK("https://vsd.vn/vi/ad/76635","Link")</f>
        <v>Link</v>
      </c>
    </row>
    <row r="1168" spans="1:6" x14ac:dyDescent="0.25">
      <c r="A1168" s="2">
        <v>44167.645509259259</v>
      </c>
      <c r="B1168" t="s">
        <v>1159</v>
      </c>
      <c r="C1168" t="s">
        <v>1953</v>
      </c>
      <c r="D1168" t="s">
        <v>2414</v>
      </c>
      <c r="E1168" t="s">
        <v>2886</v>
      </c>
      <c r="F1168" t="str">
        <f>HYPERLINK("https://vsd.vn/vi/ad/76630","Link")</f>
        <v>Link</v>
      </c>
    </row>
    <row r="1169" spans="1:6" x14ac:dyDescent="0.25">
      <c r="A1169" s="2">
        <v>44167.531956018523</v>
      </c>
      <c r="B1169" t="s">
        <v>1160</v>
      </c>
      <c r="C1169" t="s">
        <v>2053</v>
      </c>
      <c r="D1169" t="s">
        <v>2405</v>
      </c>
      <c r="E1169" t="s">
        <v>3014</v>
      </c>
      <c r="F1169" t="str">
        <f>HYPERLINK("https://vsd.vn/vi/ad/76627","Link")</f>
        <v>Link</v>
      </c>
    </row>
    <row r="1170" spans="1:6" x14ac:dyDescent="0.25">
      <c r="A1170" s="2">
        <v>44167.451423611114</v>
      </c>
      <c r="B1170" t="s">
        <v>1161</v>
      </c>
      <c r="C1170" t="s">
        <v>1467</v>
      </c>
      <c r="D1170" t="s">
        <v>2413</v>
      </c>
      <c r="E1170" t="s">
        <v>3038</v>
      </c>
      <c r="F1170" t="str">
        <f>HYPERLINK("https://vsd.vn/vi/ad/76624","Link")</f>
        <v>Link</v>
      </c>
    </row>
    <row r="1171" spans="1:6" x14ac:dyDescent="0.25">
      <c r="A1171" s="2">
        <v>44166.719537037039</v>
      </c>
      <c r="B1171" t="s">
        <v>1162</v>
      </c>
      <c r="F1171" t="str">
        <f>HYPERLINK("https://vsd.vn/vi/ad/76621","Link")</f>
        <v>Link</v>
      </c>
    </row>
    <row r="1172" spans="1:6" x14ac:dyDescent="0.25">
      <c r="A1172" s="2">
        <v>44166.718298611107</v>
      </c>
      <c r="B1172" t="s">
        <v>1163</v>
      </c>
      <c r="C1172" t="s">
        <v>1542</v>
      </c>
      <c r="D1172" t="s">
        <v>2417</v>
      </c>
      <c r="E1172" t="s">
        <v>3036</v>
      </c>
      <c r="F1172" t="str">
        <f>HYPERLINK("https://vsd.vn/vi/ad/76623","Link")</f>
        <v>Link</v>
      </c>
    </row>
    <row r="1173" spans="1:6" x14ac:dyDescent="0.25">
      <c r="A1173" s="2">
        <v>44166.711064814823</v>
      </c>
      <c r="B1173" t="s">
        <v>1164</v>
      </c>
      <c r="C1173" t="s">
        <v>2054</v>
      </c>
      <c r="D1173" t="s">
        <v>2417</v>
      </c>
      <c r="E1173" t="s">
        <v>3038</v>
      </c>
      <c r="F1173" t="str">
        <f>HYPERLINK("https://vsd.vn/vi/ad/76584","Link")</f>
        <v>Link</v>
      </c>
    </row>
    <row r="1174" spans="1:6" x14ac:dyDescent="0.25">
      <c r="A1174" s="2">
        <v>44166.703252314823</v>
      </c>
      <c r="B1174" t="s">
        <v>1165</v>
      </c>
      <c r="C1174" t="s">
        <v>2055</v>
      </c>
      <c r="D1174" t="s">
        <v>2418</v>
      </c>
      <c r="F1174" t="str">
        <f>HYPERLINK("https://vsd.vn/vi/ad/76604","Link")</f>
        <v>Link</v>
      </c>
    </row>
    <row r="1175" spans="1:6" x14ac:dyDescent="0.25">
      <c r="A1175" s="2">
        <v>44166.654664351852</v>
      </c>
      <c r="B1175" t="s">
        <v>1166</v>
      </c>
      <c r="C1175" t="s">
        <v>2056</v>
      </c>
      <c r="D1175" t="s">
        <v>2420</v>
      </c>
      <c r="E1175" t="s">
        <v>3031</v>
      </c>
      <c r="F1175" t="str">
        <f>HYPERLINK("https://vsd.vn/vi/ad/76606","Link")</f>
        <v>Link</v>
      </c>
    </row>
    <row r="1176" spans="1:6" x14ac:dyDescent="0.25">
      <c r="A1176" s="2">
        <v>44166.652465277781</v>
      </c>
      <c r="B1176" t="s">
        <v>1167</v>
      </c>
      <c r="C1176" t="s">
        <v>2057</v>
      </c>
      <c r="D1176" t="s">
        <v>2414</v>
      </c>
      <c r="E1176" t="s">
        <v>2973</v>
      </c>
      <c r="F1176" t="str">
        <f>HYPERLINK("https://vsd.vn/vi/ad/76609","Link")</f>
        <v>Link</v>
      </c>
    </row>
    <row r="1177" spans="1:6" x14ac:dyDescent="0.25">
      <c r="A1177" s="2">
        <v>44166.516157407408</v>
      </c>
      <c r="B1177" t="s">
        <v>1168</v>
      </c>
      <c r="C1177" t="s">
        <v>1468</v>
      </c>
      <c r="D1177" t="s">
        <v>2410</v>
      </c>
      <c r="E1177" t="s">
        <v>3046</v>
      </c>
      <c r="F1177" t="str">
        <f>HYPERLINK("https://vsd.vn/vi/ad/76591","Link")</f>
        <v>Link</v>
      </c>
    </row>
    <row r="1178" spans="1:6" x14ac:dyDescent="0.25">
      <c r="A1178" s="2">
        <v>44166.428101851852</v>
      </c>
      <c r="B1178" t="s">
        <v>1169</v>
      </c>
      <c r="C1178" t="s">
        <v>2058</v>
      </c>
      <c r="D1178" t="s">
        <v>2419</v>
      </c>
      <c r="F1178" t="str">
        <f>HYPERLINK("https://vsd.vn/vi/ad/76577","Link")</f>
        <v>Link</v>
      </c>
    </row>
    <row r="1179" spans="1:6" x14ac:dyDescent="0.25">
      <c r="A1179" s="2">
        <v>44166.427465277768</v>
      </c>
      <c r="B1179" t="s">
        <v>1170</v>
      </c>
      <c r="C1179" t="s">
        <v>1479</v>
      </c>
      <c r="D1179" t="s">
        <v>2421</v>
      </c>
      <c r="E1179" t="s">
        <v>3040</v>
      </c>
      <c r="F1179" t="str">
        <f>HYPERLINK("https://vsd.vn/vi/ad/76576","Link")</f>
        <v>Link</v>
      </c>
    </row>
    <row r="1180" spans="1:6" x14ac:dyDescent="0.25">
      <c r="A1180" s="2">
        <v>44165.694236111107</v>
      </c>
      <c r="B1180" t="s">
        <v>1171</v>
      </c>
      <c r="C1180" t="s">
        <v>1778</v>
      </c>
      <c r="D1180" t="s">
        <v>2419</v>
      </c>
      <c r="E1180" t="s">
        <v>3027</v>
      </c>
      <c r="F1180" t="str">
        <f>HYPERLINK("https://vsd.vn/vi/ad/76583","Link")</f>
        <v>Link</v>
      </c>
    </row>
    <row r="1181" spans="1:6" x14ac:dyDescent="0.25">
      <c r="A1181" s="2">
        <v>44165.599502314813</v>
      </c>
      <c r="B1181" t="s">
        <v>1172</v>
      </c>
      <c r="C1181" t="s">
        <v>2059</v>
      </c>
      <c r="D1181" t="s">
        <v>2420</v>
      </c>
      <c r="E1181" t="s">
        <v>3047</v>
      </c>
      <c r="F1181" t="str">
        <f>HYPERLINK("https://vsd.vn/vi/ad/76568","Link")</f>
        <v>Link</v>
      </c>
    </row>
    <row r="1182" spans="1:6" x14ac:dyDescent="0.25">
      <c r="A1182" s="2">
        <v>44162.681319444448</v>
      </c>
      <c r="B1182" t="s">
        <v>1173</v>
      </c>
      <c r="C1182" t="s">
        <v>2060</v>
      </c>
      <c r="D1182" t="s">
        <v>2417</v>
      </c>
      <c r="E1182" t="s">
        <v>3020</v>
      </c>
      <c r="F1182" t="str">
        <f>HYPERLINK("https://vsd.vn/vi/ad/76554","Link")</f>
        <v>Link</v>
      </c>
    </row>
    <row r="1183" spans="1:6" x14ac:dyDescent="0.25">
      <c r="A1183" s="2">
        <v>44162.674375000002</v>
      </c>
      <c r="B1183" t="s">
        <v>1174</v>
      </c>
      <c r="C1183" t="s">
        <v>2061</v>
      </c>
      <c r="D1183" t="s">
        <v>2420</v>
      </c>
      <c r="E1183" t="s">
        <v>3048</v>
      </c>
      <c r="F1183" t="str">
        <f>HYPERLINK("https://vsd.vn/vi/ad/76553","Link")</f>
        <v>Link</v>
      </c>
    </row>
    <row r="1184" spans="1:6" x14ac:dyDescent="0.25">
      <c r="A1184" s="2">
        <v>44162.672395833331</v>
      </c>
      <c r="B1184" t="s">
        <v>1175</v>
      </c>
      <c r="C1184" t="s">
        <v>2062</v>
      </c>
      <c r="D1184" t="s">
        <v>2419</v>
      </c>
      <c r="E1184" t="s">
        <v>3036</v>
      </c>
      <c r="F1184" t="str">
        <f>HYPERLINK("https://vsd.vn/vi/ad/76552","Link")</f>
        <v>Link</v>
      </c>
    </row>
    <row r="1185" spans="1:6" x14ac:dyDescent="0.25">
      <c r="A1185" s="2">
        <v>44162.671030092592</v>
      </c>
      <c r="B1185" t="s">
        <v>1176</v>
      </c>
      <c r="F1185" t="str">
        <f>HYPERLINK("https://vsd.vn/vi/ad/76551","Link")</f>
        <v>Link</v>
      </c>
    </row>
    <row r="1186" spans="1:6" x14ac:dyDescent="0.25">
      <c r="A1186" s="2">
        <v>44162.670578703714</v>
      </c>
      <c r="B1186" t="s">
        <v>1177</v>
      </c>
      <c r="F1186" t="str">
        <f>HYPERLINK("https://vsd.vn/vi/ad/76550","Link")</f>
        <v>Link</v>
      </c>
    </row>
    <row r="1187" spans="1:6" x14ac:dyDescent="0.25">
      <c r="A1187" s="2">
        <v>44162.665300925917</v>
      </c>
      <c r="B1187" t="s">
        <v>1178</v>
      </c>
      <c r="C1187" t="s">
        <v>2063</v>
      </c>
      <c r="D1187" t="s">
        <v>2414</v>
      </c>
      <c r="E1187" t="s">
        <v>3049</v>
      </c>
      <c r="F1187" t="str">
        <f>HYPERLINK("https://vsd.vn/vi/ad/76549","Link")</f>
        <v>Link</v>
      </c>
    </row>
    <row r="1188" spans="1:6" x14ac:dyDescent="0.25">
      <c r="A1188" s="2">
        <v>44162.663194444453</v>
      </c>
      <c r="B1188" t="s">
        <v>1179</v>
      </c>
      <c r="C1188" t="s">
        <v>1721</v>
      </c>
      <c r="D1188" t="s">
        <v>2414</v>
      </c>
      <c r="E1188" t="s">
        <v>2987</v>
      </c>
      <c r="F1188" t="str">
        <f>HYPERLINK("https://vsd.vn/vi/ad/76544","Link")</f>
        <v>Link</v>
      </c>
    </row>
    <row r="1189" spans="1:6" x14ac:dyDescent="0.25">
      <c r="A1189" s="2">
        <v>44162.638773148137</v>
      </c>
      <c r="B1189" t="s">
        <v>1180</v>
      </c>
      <c r="C1189" t="s">
        <v>1477</v>
      </c>
      <c r="D1189" t="s">
        <v>2416</v>
      </c>
      <c r="E1189" t="s">
        <v>3050</v>
      </c>
      <c r="F1189" t="str">
        <f>HYPERLINK("https://vsd.vn/vi/ad/76539","Link")</f>
        <v>Link</v>
      </c>
    </row>
    <row r="1190" spans="1:6" x14ac:dyDescent="0.25">
      <c r="A1190" s="2">
        <v>44162.632488425923</v>
      </c>
      <c r="B1190" t="s">
        <v>1181</v>
      </c>
      <c r="F1190" t="str">
        <f>HYPERLINK("https://vsd.vn/vi/ad/76543","Link")</f>
        <v>Link</v>
      </c>
    </row>
    <row r="1191" spans="1:6" x14ac:dyDescent="0.25">
      <c r="A1191" s="2">
        <v>44162.607152777768</v>
      </c>
      <c r="B1191" t="s">
        <v>1182</v>
      </c>
      <c r="C1191" t="s">
        <v>2064</v>
      </c>
      <c r="D1191" t="s">
        <v>2416</v>
      </c>
      <c r="E1191" t="s">
        <v>3051</v>
      </c>
      <c r="F1191" t="str">
        <f>HYPERLINK("https://vsd.vn/vi/ad/76540","Link")</f>
        <v>Link</v>
      </c>
    </row>
    <row r="1192" spans="1:6" x14ac:dyDescent="0.25">
      <c r="A1192" s="2">
        <v>44162.476666666669</v>
      </c>
      <c r="B1192" t="s">
        <v>1183</v>
      </c>
      <c r="C1192" t="s">
        <v>2065</v>
      </c>
      <c r="D1192" t="s">
        <v>2419</v>
      </c>
      <c r="E1192" t="s">
        <v>3035</v>
      </c>
      <c r="F1192" t="str">
        <f>HYPERLINK("https://vsd.vn/vi/ad/76538","Link")</f>
        <v>Link</v>
      </c>
    </row>
    <row r="1193" spans="1:6" x14ac:dyDescent="0.25">
      <c r="A1193" s="2">
        <v>44162.474432870367</v>
      </c>
      <c r="B1193" t="s">
        <v>1184</v>
      </c>
      <c r="C1193" t="s">
        <v>2066</v>
      </c>
      <c r="D1193" t="s">
        <v>2422</v>
      </c>
      <c r="E1193" t="s">
        <v>3052</v>
      </c>
      <c r="F1193" t="str">
        <f>HYPERLINK("https://vsd.vn/vi/ad/76522","Link")</f>
        <v>Link</v>
      </c>
    </row>
    <row r="1194" spans="1:6" x14ac:dyDescent="0.25">
      <c r="A1194" s="2">
        <v>44162.471319444441</v>
      </c>
      <c r="B1194" t="s">
        <v>1185</v>
      </c>
      <c r="C1194" t="s">
        <v>1975</v>
      </c>
      <c r="D1194" t="s">
        <v>2420</v>
      </c>
      <c r="E1194" t="s">
        <v>3053</v>
      </c>
      <c r="F1194" t="str">
        <f>HYPERLINK("https://vsd.vn/vi/ad/76536","Link")</f>
        <v>Link</v>
      </c>
    </row>
    <row r="1195" spans="1:6" x14ac:dyDescent="0.25">
      <c r="A1195" s="2">
        <v>44161.72152777778</v>
      </c>
      <c r="B1195" t="s">
        <v>1186</v>
      </c>
      <c r="F1195" t="str">
        <f>HYPERLINK("https://vsd.vn/vi/ad/76517","Link")</f>
        <v>Link</v>
      </c>
    </row>
    <row r="1196" spans="1:6" x14ac:dyDescent="0.25">
      <c r="A1196" s="2">
        <v>44161.708101851851</v>
      </c>
      <c r="B1196" t="s">
        <v>1187</v>
      </c>
      <c r="F1196" t="str">
        <f>HYPERLINK("https://vsd.vn/vi/ad/76523","Link")</f>
        <v>Link</v>
      </c>
    </row>
    <row r="1197" spans="1:6" x14ac:dyDescent="0.25">
      <c r="A1197" s="2">
        <v>44161.6012962963</v>
      </c>
      <c r="B1197" t="s">
        <v>1188</v>
      </c>
      <c r="C1197" t="s">
        <v>1512</v>
      </c>
      <c r="D1197" t="s">
        <v>2419</v>
      </c>
      <c r="E1197" t="s">
        <v>3053</v>
      </c>
      <c r="F1197" t="str">
        <f>HYPERLINK("https://vsd.vn/vi/ad/76514","Link")</f>
        <v>Link</v>
      </c>
    </row>
    <row r="1198" spans="1:6" x14ac:dyDescent="0.25">
      <c r="A1198" s="2">
        <v>44161.597986111112</v>
      </c>
      <c r="B1198" t="s">
        <v>1189</v>
      </c>
      <c r="C1198" t="s">
        <v>2067</v>
      </c>
      <c r="D1198" t="s">
        <v>2421</v>
      </c>
      <c r="F1198" t="str">
        <f>HYPERLINK("https://vsd.vn/vi/ad/76512","Link")</f>
        <v>Link</v>
      </c>
    </row>
    <row r="1199" spans="1:6" x14ac:dyDescent="0.25">
      <c r="A1199" s="2">
        <v>44160.719768518517</v>
      </c>
      <c r="B1199" t="s">
        <v>1190</v>
      </c>
      <c r="F1199" t="str">
        <f>HYPERLINK("https://vsd.vn/vi/ad/76501","Link")</f>
        <v>Link</v>
      </c>
    </row>
    <row r="1200" spans="1:6" x14ac:dyDescent="0.25">
      <c r="A1200" s="2">
        <v>44160.718912037039</v>
      </c>
      <c r="B1200" t="s">
        <v>1191</v>
      </c>
      <c r="F1200" t="str">
        <f>HYPERLINK("https://vsd.vn/vi/ad/76502","Link")</f>
        <v>Link</v>
      </c>
    </row>
    <row r="1201" spans="1:6" x14ac:dyDescent="0.25">
      <c r="A1201" s="2">
        <v>44160.693495370368</v>
      </c>
      <c r="B1201" t="s">
        <v>1192</v>
      </c>
      <c r="C1201" t="s">
        <v>1468</v>
      </c>
      <c r="D1201" t="s">
        <v>2422</v>
      </c>
      <c r="E1201" t="s">
        <v>3054</v>
      </c>
      <c r="F1201" t="str">
        <f>HYPERLINK("https://vsd.vn/vi/ad/76498","Link")</f>
        <v>Link</v>
      </c>
    </row>
    <row r="1202" spans="1:6" x14ac:dyDescent="0.25">
      <c r="A1202" s="2">
        <v>44160.632152777784</v>
      </c>
      <c r="B1202" t="s">
        <v>1193</v>
      </c>
      <c r="C1202" t="s">
        <v>2068</v>
      </c>
      <c r="D1202" t="s">
        <v>2422</v>
      </c>
      <c r="F1202" t="str">
        <f>HYPERLINK("https://vsd.vn/vi/ad/76497","Link")</f>
        <v>Link</v>
      </c>
    </row>
    <row r="1203" spans="1:6" x14ac:dyDescent="0.25">
      <c r="A1203" s="2">
        <v>44160.620208333326</v>
      </c>
      <c r="B1203" t="s">
        <v>1194</v>
      </c>
      <c r="C1203" t="s">
        <v>1525</v>
      </c>
      <c r="D1203" t="s">
        <v>2423</v>
      </c>
      <c r="E1203" t="s">
        <v>3055</v>
      </c>
      <c r="F1203" t="str">
        <f>HYPERLINK("https://vsd.vn/vi/ad/76496","Link")</f>
        <v>Link</v>
      </c>
    </row>
    <row r="1204" spans="1:6" x14ac:dyDescent="0.25">
      <c r="A1204" s="2">
        <v>44160.619849537034</v>
      </c>
      <c r="B1204" t="s">
        <v>1195</v>
      </c>
      <c r="C1204" t="s">
        <v>1467</v>
      </c>
      <c r="D1204" t="s">
        <v>2424</v>
      </c>
      <c r="E1204" t="s">
        <v>2968</v>
      </c>
      <c r="F1204" t="str">
        <f>HYPERLINK("https://vsd.vn/vi/ad/76479","Link")</f>
        <v>Link</v>
      </c>
    </row>
    <row r="1205" spans="1:6" x14ac:dyDescent="0.25">
      <c r="A1205" s="2">
        <v>44160.619340277779</v>
      </c>
      <c r="B1205" t="s">
        <v>1196</v>
      </c>
      <c r="C1205" t="s">
        <v>2069</v>
      </c>
      <c r="D1205" t="s">
        <v>2423</v>
      </c>
      <c r="E1205" t="s">
        <v>3055</v>
      </c>
      <c r="F1205" t="str">
        <f>HYPERLINK("https://vsd.vn/vi/ad/76478","Link")</f>
        <v>Link</v>
      </c>
    </row>
    <row r="1206" spans="1:6" x14ac:dyDescent="0.25">
      <c r="A1206" s="2">
        <v>44160.618530092594</v>
      </c>
      <c r="B1206" t="s">
        <v>1197</v>
      </c>
      <c r="C1206" t="s">
        <v>2070</v>
      </c>
      <c r="D1206" t="s">
        <v>2424</v>
      </c>
      <c r="E1206" t="s">
        <v>3056</v>
      </c>
      <c r="F1206" t="str">
        <f>HYPERLINK("https://vsd.vn/vi/ad/76489","Link")</f>
        <v>Link</v>
      </c>
    </row>
    <row r="1207" spans="1:6" x14ac:dyDescent="0.25">
      <c r="A1207" s="2">
        <v>44159.698321759257</v>
      </c>
      <c r="B1207" t="s">
        <v>1198</v>
      </c>
      <c r="C1207" t="s">
        <v>2071</v>
      </c>
      <c r="D1207" t="s">
        <v>2419</v>
      </c>
      <c r="E1207" t="s">
        <v>3057</v>
      </c>
      <c r="F1207" t="str">
        <f>HYPERLINK("https://vsd.vn/vi/ad/76485","Link")</f>
        <v>Link</v>
      </c>
    </row>
    <row r="1208" spans="1:6" x14ac:dyDescent="0.25">
      <c r="A1208" s="2">
        <v>44159.659629629627</v>
      </c>
      <c r="B1208" t="s">
        <v>1199</v>
      </c>
      <c r="C1208" t="s">
        <v>2072</v>
      </c>
      <c r="D1208" t="s">
        <v>2423</v>
      </c>
      <c r="E1208" t="s">
        <v>3038</v>
      </c>
      <c r="F1208" t="str">
        <f>HYPERLINK("https://vsd.vn/vi/ad/76470","Link")</f>
        <v>Link</v>
      </c>
    </row>
    <row r="1209" spans="1:6" x14ac:dyDescent="0.25">
      <c r="A1209" s="2">
        <v>44159.570405092592</v>
      </c>
      <c r="B1209" t="s">
        <v>1200</v>
      </c>
      <c r="C1209" t="s">
        <v>1484</v>
      </c>
      <c r="D1209" t="s">
        <v>2420</v>
      </c>
      <c r="E1209" t="s">
        <v>3058</v>
      </c>
      <c r="F1209" t="str">
        <f>HYPERLINK("https://vsd.vn/vi/ad/76465","Link")</f>
        <v>Link</v>
      </c>
    </row>
    <row r="1210" spans="1:6" x14ac:dyDescent="0.25">
      <c r="A1210" s="2">
        <v>44158.663252314807</v>
      </c>
      <c r="B1210" t="s">
        <v>1201</v>
      </c>
      <c r="C1210" t="s">
        <v>2073</v>
      </c>
      <c r="D1210" t="s">
        <v>2424</v>
      </c>
      <c r="E1210" t="s">
        <v>2968</v>
      </c>
      <c r="F1210" t="str">
        <f>HYPERLINK("https://vsd.vn/vi/ad/76453","Link")</f>
        <v>Link</v>
      </c>
    </row>
    <row r="1211" spans="1:6" x14ac:dyDescent="0.25">
      <c r="A1211" s="2">
        <v>44158.592928240738</v>
      </c>
      <c r="B1211" t="s">
        <v>1202</v>
      </c>
      <c r="C1211" t="s">
        <v>2074</v>
      </c>
      <c r="D1211" t="s">
        <v>2425</v>
      </c>
      <c r="E1211" t="s">
        <v>3059</v>
      </c>
      <c r="F1211" t="str">
        <f>HYPERLINK("https://vsd.vn/vi/ad/76450","Link")</f>
        <v>Link</v>
      </c>
    </row>
    <row r="1212" spans="1:6" x14ac:dyDescent="0.25">
      <c r="A1212" s="2">
        <v>44155.715104166673</v>
      </c>
      <c r="B1212" t="s">
        <v>1203</v>
      </c>
      <c r="C1212" t="s">
        <v>2032</v>
      </c>
      <c r="D1212" t="s">
        <v>2424</v>
      </c>
      <c r="E1212" t="s">
        <v>3036</v>
      </c>
      <c r="F1212" t="str">
        <f>HYPERLINK("https://vsd.vn/vi/ad/76400","Link")</f>
        <v>Link</v>
      </c>
    </row>
    <row r="1213" spans="1:6" x14ac:dyDescent="0.25">
      <c r="A1213" s="2">
        <v>44155.70853009259</v>
      </c>
      <c r="B1213" t="s">
        <v>1204</v>
      </c>
      <c r="C1213" t="s">
        <v>2075</v>
      </c>
      <c r="D1213" t="s">
        <v>2426</v>
      </c>
      <c r="E1213" t="s">
        <v>3060</v>
      </c>
      <c r="F1213" t="str">
        <f>HYPERLINK("https://vsd.vn/vi/ad/76444","Link")</f>
        <v>Link</v>
      </c>
    </row>
    <row r="1214" spans="1:6" x14ac:dyDescent="0.25">
      <c r="A1214" s="2">
        <v>44155.688402777778</v>
      </c>
      <c r="B1214" t="s">
        <v>1205</v>
      </c>
      <c r="C1214" t="s">
        <v>2076</v>
      </c>
      <c r="D1214" t="s">
        <v>2417</v>
      </c>
      <c r="F1214" t="str">
        <f>HYPERLINK("https://vsd.vn/vi/ad/76419","Link")</f>
        <v>Link</v>
      </c>
    </row>
    <row r="1215" spans="1:6" x14ac:dyDescent="0.25">
      <c r="A1215" s="2">
        <v>44155.666307870371</v>
      </c>
      <c r="B1215" t="s">
        <v>1206</v>
      </c>
      <c r="C1215" t="s">
        <v>1928</v>
      </c>
      <c r="D1215" t="s">
        <v>2422</v>
      </c>
      <c r="E1215" t="s">
        <v>3061</v>
      </c>
      <c r="F1215" t="str">
        <f>HYPERLINK("https://vsd.vn/vi/ad/76423","Link")</f>
        <v>Link</v>
      </c>
    </row>
    <row r="1216" spans="1:6" x14ac:dyDescent="0.25">
      <c r="A1216" s="2">
        <v>44155.660763888889</v>
      </c>
      <c r="B1216" t="s">
        <v>1207</v>
      </c>
      <c r="D1216" t="s">
        <v>2427</v>
      </c>
      <c r="E1216" t="s">
        <v>3062</v>
      </c>
      <c r="F1216" t="str">
        <f>HYPERLINK("https://vsd.vn/vi/ad/76420","Link")</f>
        <v>Link</v>
      </c>
    </row>
    <row r="1217" spans="1:6" x14ac:dyDescent="0.25">
      <c r="A1217" s="2">
        <v>44155.640798611108</v>
      </c>
      <c r="B1217" t="s">
        <v>1208</v>
      </c>
      <c r="C1217" t="s">
        <v>2077</v>
      </c>
      <c r="D1217" t="s">
        <v>2426</v>
      </c>
      <c r="E1217" t="s">
        <v>3063</v>
      </c>
      <c r="F1217" t="str">
        <f>HYPERLINK("https://vsd.vn/vi/ad/76392","Link")</f>
        <v>Link</v>
      </c>
    </row>
    <row r="1218" spans="1:6" x14ac:dyDescent="0.25">
      <c r="A1218" s="2">
        <v>44155.640439814822</v>
      </c>
      <c r="B1218" t="s">
        <v>1209</v>
      </c>
      <c r="C1218" t="s">
        <v>2078</v>
      </c>
      <c r="D1218" t="s">
        <v>2426</v>
      </c>
      <c r="E1218" t="s">
        <v>3064</v>
      </c>
      <c r="F1218" t="str">
        <f>HYPERLINK("https://vsd.vn/vi/ad/76414","Link")</f>
        <v>Link</v>
      </c>
    </row>
    <row r="1219" spans="1:6" x14ac:dyDescent="0.25">
      <c r="A1219" s="2">
        <v>44155.461493055547</v>
      </c>
      <c r="B1219" t="s">
        <v>1210</v>
      </c>
      <c r="C1219" t="s">
        <v>1480</v>
      </c>
      <c r="D1219" t="s">
        <v>2428</v>
      </c>
      <c r="E1219" t="s">
        <v>3065</v>
      </c>
      <c r="F1219" t="str">
        <f>HYPERLINK("https://vsd.vn/vi/ad/76393","Link")</f>
        <v>Link</v>
      </c>
    </row>
    <row r="1220" spans="1:6" x14ac:dyDescent="0.25">
      <c r="A1220" s="2">
        <v>44155.461134259262</v>
      </c>
      <c r="B1220" t="s">
        <v>1211</v>
      </c>
      <c r="F1220" t="str">
        <f>HYPERLINK("https://vsd.vn/vi/ad/76394","Link")</f>
        <v>Link</v>
      </c>
    </row>
    <row r="1221" spans="1:6" x14ac:dyDescent="0.25">
      <c r="A1221" s="2">
        <v>44155.427407407413</v>
      </c>
      <c r="B1221" t="s">
        <v>1212</v>
      </c>
      <c r="C1221" t="s">
        <v>1484</v>
      </c>
      <c r="D1221" t="s">
        <v>2426</v>
      </c>
      <c r="E1221" t="s">
        <v>3066</v>
      </c>
      <c r="F1221" t="str">
        <f>HYPERLINK("https://vsd.vn/vi/ad/76379","Link")</f>
        <v>Link</v>
      </c>
    </row>
    <row r="1222" spans="1:6" x14ac:dyDescent="0.25">
      <c r="A1222" s="2">
        <v>44155.417407407411</v>
      </c>
      <c r="B1222" t="s">
        <v>1213</v>
      </c>
      <c r="C1222" t="s">
        <v>2079</v>
      </c>
      <c r="D1222" t="s">
        <v>2417</v>
      </c>
      <c r="E1222" t="s">
        <v>3031</v>
      </c>
      <c r="F1222" t="str">
        <f>HYPERLINK("https://vsd.vn/vi/ad/76389","Link")</f>
        <v>Link</v>
      </c>
    </row>
    <row r="1223" spans="1:6" x14ac:dyDescent="0.25">
      <c r="A1223" s="2">
        <v>44155.397766203707</v>
      </c>
      <c r="B1223" t="s">
        <v>1214</v>
      </c>
      <c r="C1223" t="s">
        <v>2080</v>
      </c>
      <c r="D1223" t="s">
        <v>2424</v>
      </c>
      <c r="E1223" t="s">
        <v>3067</v>
      </c>
      <c r="F1223" t="str">
        <f>HYPERLINK("https://vsd.vn/vi/ad/76388","Link")</f>
        <v>Link</v>
      </c>
    </row>
    <row r="1224" spans="1:6" x14ac:dyDescent="0.25">
      <c r="A1224" s="2">
        <v>44154.695960648147</v>
      </c>
      <c r="B1224" t="s">
        <v>1215</v>
      </c>
      <c r="C1224" t="s">
        <v>2081</v>
      </c>
      <c r="D1224" t="s">
        <v>2428</v>
      </c>
      <c r="F1224" t="str">
        <f>HYPERLINK("https://vsd.vn/vi/ad/76385","Link")</f>
        <v>Link</v>
      </c>
    </row>
    <row r="1225" spans="1:6" x14ac:dyDescent="0.25">
      <c r="A1225" s="2">
        <v>44154.691863425927</v>
      </c>
      <c r="B1225" t="s">
        <v>1216</v>
      </c>
      <c r="C1225" t="s">
        <v>2082</v>
      </c>
      <c r="D1225" t="s">
        <v>2424</v>
      </c>
      <c r="F1225" t="str">
        <f>HYPERLINK("https://vsd.vn/vi/ad/76369","Link")</f>
        <v>Link</v>
      </c>
    </row>
    <row r="1226" spans="1:6" x14ac:dyDescent="0.25">
      <c r="A1226" s="2">
        <v>44154.63753472222</v>
      </c>
      <c r="B1226" t="s">
        <v>1217</v>
      </c>
      <c r="C1226" t="s">
        <v>2083</v>
      </c>
      <c r="D1226" t="s">
        <v>2428</v>
      </c>
      <c r="F1226" t="str">
        <f>HYPERLINK("https://vsd.vn/vi/ad/76375","Link")</f>
        <v>Link</v>
      </c>
    </row>
    <row r="1227" spans="1:6" x14ac:dyDescent="0.25">
      <c r="A1227" s="2">
        <v>44154.594641203701</v>
      </c>
      <c r="B1227" t="s">
        <v>1218</v>
      </c>
      <c r="C1227" t="s">
        <v>2084</v>
      </c>
      <c r="D1227" t="s">
        <v>2425</v>
      </c>
      <c r="E1227" t="s">
        <v>3036</v>
      </c>
      <c r="F1227" t="str">
        <f>HYPERLINK("https://vsd.vn/vi/ad/76374","Link")</f>
        <v>Link</v>
      </c>
    </row>
    <row r="1228" spans="1:6" x14ac:dyDescent="0.25">
      <c r="A1228" s="2">
        <v>44154.575902777768</v>
      </c>
      <c r="B1228" t="s">
        <v>1219</v>
      </c>
      <c r="D1228" t="s">
        <v>2426</v>
      </c>
      <c r="F1228" t="str">
        <f>HYPERLINK("https://vsd.vn/vi/ad/76349","Link")</f>
        <v>Link</v>
      </c>
    </row>
    <row r="1229" spans="1:6" x14ac:dyDescent="0.25">
      <c r="A1229" s="2">
        <v>44154.574965277781</v>
      </c>
      <c r="B1229" t="s">
        <v>1220</v>
      </c>
      <c r="C1229" t="s">
        <v>2085</v>
      </c>
      <c r="D1229" t="s">
        <v>2428</v>
      </c>
      <c r="E1229" t="s">
        <v>3053</v>
      </c>
      <c r="F1229" t="str">
        <f>HYPERLINK("https://vsd.vn/vi/ad/76348","Link")</f>
        <v>Link</v>
      </c>
    </row>
    <row r="1230" spans="1:6" x14ac:dyDescent="0.25">
      <c r="A1230" s="2">
        <v>44154.472488425927</v>
      </c>
      <c r="B1230" t="s">
        <v>1221</v>
      </c>
      <c r="C1230" t="s">
        <v>1467</v>
      </c>
      <c r="D1230" t="s">
        <v>2429</v>
      </c>
      <c r="E1230" t="s">
        <v>3063</v>
      </c>
      <c r="F1230" t="str">
        <f>HYPERLINK("https://vsd.vn/vi/ad/76363","Link")</f>
        <v>Link</v>
      </c>
    </row>
    <row r="1231" spans="1:6" x14ac:dyDescent="0.25">
      <c r="A1231" s="2">
        <v>44154.472187500003</v>
      </c>
      <c r="B1231" t="s">
        <v>1222</v>
      </c>
      <c r="C1231" t="s">
        <v>2086</v>
      </c>
      <c r="D1231" t="s">
        <v>2430</v>
      </c>
      <c r="E1231" t="s">
        <v>3068</v>
      </c>
      <c r="F1231" t="str">
        <f>HYPERLINK("https://vsd.vn/vi/ad/76364","Link")</f>
        <v>Link</v>
      </c>
    </row>
    <row r="1232" spans="1:6" x14ac:dyDescent="0.25">
      <c r="A1232" s="2">
        <v>44154.45349537037</v>
      </c>
      <c r="B1232" t="s">
        <v>1223</v>
      </c>
      <c r="C1232" t="s">
        <v>2087</v>
      </c>
      <c r="D1232" t="s">
        <v>2430</v>
      </c>
      <c r="E1232" t="s">
        <v>3064</v>
      </c>
      <c r="F1232" t="str">
        <f>HYPERLINK("https://vsd.vn/vi/ad/76343","Link")</f>
        <v>Link</v>
      </c>
    </row>
    <row r="1233" spans="1:6" x14ac:dyDescent="0.25">
      <c r="A1233" s="2">
        <v>44154.410451388889</v>
      </c>
      <c r="B1233" t="s">
        <v>1224</v>
      </c>
      <c r="C1233" t="s">
        <v>2088</v>
      </c>
      <c r="D1233" t="s">
        <v>2428</v>
      </c>
      <c r="F1233" t="str">
        <f>HYPERLINK("https://vsd.vn/vi/ad/76360","Link")</f>
        <v>Link</v>
      </c>
    </row>
    <row r="1234" spans="1:6" x14ac:dyDescent="0.25">
      <c r="A1234" s="2">
        <v>44153.712893518517</v>
      </c>
      <c r="B1234" t="s">
        <v>1225</v>
      </c>
      <c r="C1234" t="s">
        <v>1467</v>
      </c>
      <c r="D1234" t="s">
        <v>2425</v>
      </c>
      <c r="E1234" t="s">
        <v>3069</v>
      </c>
      <c r="F1234" t="str">
        <f>HYPERLINK("https://vsd.vn/vi/ad/76341","Link")</f>
        <v>Link</v>
      </c>
    </row>
    <row r="1235" spans="1:6" x14ac:dyDescent="0.25">
      <c r="A1235" s="2">
        <v>44153.71199074074</v>
      </c>
      <c r="B1235" t="s">
        <v>1226</v>
      </c>
      <c r="C1235" t="s">
        <v>1494</v>
      </c>
      <c r="D1235" t="s">
        <v>2429</v>
      </c>
      <c r="E1235" t="s">
        <v>2973</v>
      </c>
      <c r="F1235" t="str">
        <f>HYPERLINK("https://vsd.vn/vi/ad/76328","Link")</f>
        <v>Link</v>
      </c>
    </row>
    <row r="1236" spans="1:6" x14ac:dyDescent="0.25">
      <c r="A1236" s="2">
        <v>44153.695960648147</v>
      </c>
      <c r="B1236" t="s">
        <v>1227</v>
      </c>
      <c r="C1236" t="s">
        <v>2089</v>
      </c>
      <c r="D1236" t="s">
        <v>2428</v>
      </c>
      <c r="E1236" t="s">
        <v>3036</v>
      </c>
      <c r="F1236" t="str">
        <f>HYPERLINK("https://vsd.vn/vi/ad/76345","Link")</f>
        <v>Link</v>
      </c>
    </row>
    <row r="1237" spans="1:6" x14ac:dyDescent="0.25">
      <c r="A1237" s="2">
        <v>44153.694745370369</v>
      </c>
      <c r="B1237" t="s">
        <v>1228</v>
      </c>
      <c r="C1237" t="s">
        <v>1533</v>
      </c>
      <c r="D1237" t="s">
        <v>2429</v>
      </c>
      <c r="E1237" t="s">
        <v>3055</v>
      </c>
      <c r="F1237" t="str">
        <f>HYPERLINK("https://vsd.vn/vi/ad/76346","Link")</f>
        <v>Link</v>
      </c>
    </row>
    <row r="1238" spans="1:6" x14ac:dyDescent="0.25">
      <c r="A1238" s="2">
        <v>44153.502546296288</v>
      </c>
      <c r="B1238" t="s">
        <v>1229</v>
      </c>
      <c r="C1238" t="s">
        <v>1479</v>
      </c>
      <c r="D1238" t="s">
        <v>2423</v>
      </c>
      <c r="E1238" t="s">
        <v>3070</v>
      </c>
      <c r="F1238" t="str">
        <f>HYPERLINK("https://vsd.vn/vi/ad/76326","Link")</f>
        <v>Link</v>
      </c>
    </row>
    <row r="1239" spans="1:6" x14ac:dyDescent="0.25">
      <c r="A1239" s="2">
        <v>44153.423344907409</v>
      </c>
      <c r="B1239" t="s">
        <v>1230</v>
      </c>
      <c r="D1239" t="s">
        <v>2428</v>
      </c>
      <c r="F1239" t="str">
        <f>HYPERLINK("https://vsd.vn/vi/ad/76324","Link")</f>
        <v>Link</v>
      </c>
    </row>
    <row r="1240" spans="1:6" x14ac:dyDescent="0.25">
      <c r="A1240" s="2">
        <v>44153.423171296286</v>
      </c>
      <c r="B1240" t="s">
        <v>1231</v>
      </c>
      <c r="C1240" t="s">
        <v>1499</v>
      </c>
      <c r="D1240" t="s">
        <v>2428</v>
      </c>
      <c r="E1240" t="s">
        <v>3056</v>
      </c>
      <c r="F1240" t="str">
        <f>HYPERLINK("https://vsd.vn/vi/ad/76325","Link")</f>
        <v>Link</v>
      </c>
    </row>
    <row r="1241" spans="1:6" x14ac:dyDescent="0.25">
      <c r="A1241" s="2">
        <v>44152.694513888891</v>
      </c>
      <c r="B1241" t="s">
        <v>1232</v>
      </c>
      <c r="C1241" t="s">
        <v>2090</v>
      </c>
      <c r="D1241" t="s">
        <v>2425</v>
      </c>
      <c r="E1241" t="s">
        <v>3071</v>
      </c>
      <c r="F1241" t="str">
        <f>HYPERLINK("https://vsd.vn/vi/ad/76309","Link")</f>
        <v>Link</v>
      </c>
    </row>
    <row r="1242" spans="1:6" x14ac:dyDescent="0.25">
      <c r="A1242" s="2">
        <v>44152.694074074083</v>
      </c>
      <c r="B1242" t="s">
        <v>1233</v>
      </c>
      <c r="C1242" t="s">
        <v>2091</v>
      </c>
      <c r="D1242" t="s">
        <v>2428</v>
      </c>
      <c r="E1242" t="s">
        <v>3040</v>
      </c>
      <c r="F1242" t="str">
        <f>HYPERLINK("https://vsd.vn/vi/ad/76308","Link")</f>
        <v>Link</v>
      </c>
    </row>
    <row r="1243" spans="1:6" x14ac:dyDescent="0.25">
      <c r="A1243" s="2">
        <v>44152.684328703697</v>
      </c>
      <c r="B1243" t="s">
        <v>1234</v>
      </c>
      <c r="C1243" t="s">
        <v>2092</v>
      </c>
      <c r="D1243" t="s">
        <v>2428</v>
      </c>
      <c r="E1243" t="s">
        <v>3031</v>
      </c>
      <c r="F1243" t="str">
        <f>HYPERLINK("https://vsd.vn/vi/ad/76313","Link")</f>
        <v>Link</v>
      </c>
    </row>
    <row r="1244" spans="1:6" x14ac:dyDescent="0.25">
      <c r="A1244" s="2">
        <v>44152.671990740739</v>
      </c>
      <c r="B1244" t="s">
        <v>1235</v>
      </c>
      <c r="C1244" t="s">
        <v>2093</v>
      </c>
      <c r="D1244" t="s">
        <v>2431</v>
      </c>
      <c r="F1244" t="str">
        <f>HYPERLINK("https://vsd.vn/vi/ad/76307","Link")</f>
        <v>Link</v>
      </c>
    </row>
    <row r="1245" spans="1:6" x14ac:dyDescent="0.25">
      <c r="A1245" s="2">
        <v>44152.655474537038</v>
      </c>
      <c r="B1245" t="s">
        <v>1236</v>
      </c>
      <c r="C1245" t="s">
        <v>2094</v>
      </c>
      <c r="D1245" t="s">
        <v>2425</v>
      </c>
      <c r="E1245" t="s">
        <v>3036</v>
      </c>
      <c r="F1245" t="str">
        <f>HYPERLINK("https://vsd.vn/vi/ad/76311","Link")</f>
        <v>Link</v>
      </c>
    </row>
    <row r="1246" spans="1:6" x14ac:dyDescent="0.25">
      <c r="A1246" s="2">
        <v>44152.42696759259</v>
      </c>
      <c r="B1246" t="s">
        <v>1237</v>
      </c>
      <c r="F1246" t="str">
        <f>HYPERLINK("https://vsd.vn/vi/ad/76305","Link")</f>
        <v>Link</v>
      </c>
    </row>
    <row r="1247" spans="1:6" x14ac:dyDescent="0.25">
      <c r="A1247" s="2">
        <v>44152.363113425927</v>
      </c>
      <c r="B1247" t="s">
        <v>1238</v>
      </c>
      <c r="C1247" t="s">
        <v>2095</v>
      </c>
      <c r="D1247" t="s">
        <v>2432</v>
      </c>
      <c r="E1247" t="s">
        <v>3072</v>
      </c>
      <c r="F1247" t="str">
        <f>HYPERLINK("https://vsd.vn/vi/ad/76301","Link")</f>
        <v>Link</v>
      </c>
    </row>
    <row r="1248" spans="1:6" x14ac:dyDescent="0.25">
      <c r="A1248" s="2">
        <v>44152.362743055557</v>
      </c>
      <c r="B1248" t="s">
        <v>1239</v>
      </c>
      <c r="C1248" t="s">
        <v>1468</v>
      </c>
      <c r="D1248" t="s">
        <v>2426</v>
      </c>
      <c r="E1248" t="s">
        <v>3052</v>
      </c>
      <c r="F1248" t="str">
        <f>HYPERLINK("https://vsd.vn/vi/ad/76300","Link")</f>
        <v>Link</v>
      </c>
    </row>
    <row r="1249" spans="1:6" x14ac:dyDescent="0.25">
      <c r="A1249" s="2">
        <v>44152.361979166657</v>
      </c>
      <c r="B1249" t="s">
        <v>1240</v>
      </c>
      <c r="C1249" t="s">
        <v>1835</v>
      </c>
      <c r="D1249" t="s">
        <v>2428</v>
      </c>
      <c r="F1249" t="str">
        <f>HYPERLINK("https://vsd.vn/vi/ad/76302","Link")</f>
        <v>Link</v>
      </c>
    </row>
    <row r="1250" spans="1:6" x14ac:dyDescent="0.25">
      <c r="A1250" s="2">
        <v>44151.627233796287</v>
      </c>
      <c r="B1250" t="s">
        <v>1241</v>
      </c>
      <c r="C1250" t="s">
        <v>2096</v>
      </c>
      <c r="D1250" t="s">
        <v>2428</v>
      </c>
      <c r="E1250" t="s">
        <v>3042</v>
      </c>
      <c r="F1250" t="str">
        <f>HYPERLINK("https://vsd.vn/vi/ad/76296","Link")</f>
        <v>Link</v>
      </c>
    </row>
    <row r="1251" spans="1:6" x14ac:dyDescent="0.25">
      <c r="A1251" s="2">
        <v>44151.626620370371</v>
      </c>
      <c r="B1251" t="s">
        <v>1242</v>
      </c>
      <c r="C1251" t="s">
        <v>2097</v>
      </c>
      <c r="D1251" t="s">
        <v>2431</v>
      </c>
      <c r="F1251" t="str">
        <f>HYPERLINK("https://vsd.vn/vi/ad/76295","Link")</f>
        <v>Link</v>
      </c>
    </row>
    <row r="1252" spans="1:6" x14ac:dyDescent="0.25">
      <c r="A1252" s="2">
        <v>44148.736805555563</v>
      </c>
      <c r="B1252" t="s">
        <v>1243</v>
      </c>
      <c r="C1252" t="s">
        <v>2098</v>
      </c>
      <c r="D1252" t="s">
        <v>2430</v>
      </c>
      <c r="F1252" t="str">
        <f>HYPERLINK("https://vsd.vn/vi/ad/76291","Link")</f>
        <v>Link</v>
      </c>
    </row>
    <row r="1253" spans="1:6" x14ac:dyDescent="0.25">
      <c r="A1253" s="2">
        <v>44148.715092592603</v>
      </c>
      <c r="B1253" t="s">
        <v>1244</v>
      </c>
      <c r="C1253" t="s">
        <v>2099</v>
      </c>
      <c r="D1253" t="s">
        <v>2428</v>
      </c>
      <c r="E1253" t="s">
        <v>3069</v>
      </c>
      <c r="F1253" t="str">
        <f>HYPERLINK("https://vsd.vn/vi/ad/76280","Link")</f>
        <v>Link</v>
      </c>
    </row>
    <row r="1254" spans="1:6" x14ac:dyDescent="0.25">
      <c r="A1254" s="2">
        <v>44148.714814814812</v>
      </c>
      <c r="B1254" t="s">
        <v>1245</v>
      </c>
      <c r="C1254" t="s">
        <v>2003</v>
      </c>
      <c r="D1254" t="s">
        <v>2421</v>
      </c>
      <c r="E1254" t="s">
        <v>3073</v>
      </c>
      <c r="F1254" t="str">
        <f>HYPERLINK("https://vsd.vn/vi/ad/76282","Link")</f>
        <v>Link</v>
      </c>
    </row>
    <row r="1255" spans="1:6" x14ac:dyDescent="0.25">
      <c r="A1255" s="2">
        <v>44148.698310185187</v>
      </c>
      <c r="B1255" t="s">
        <v>1246</v>
      </c>
      <c r="C1255" t="s">
        <v>2100</v>
      </c>
      <c r="D1255" t="s">
        <v>2430</v>
      </c>
      <c r="E1255" t="s">
        <v>3074</v>
      </c>
      <c r="F1255" t="str">
        <f>HYPERLINK("https://vsd.vn/vi/ad/76284","Link")</f>
        <v>Link</v>
      </c>
    </row>
    <row r="1256" spans="1:6" x14ac:dyDescent="0.25">
      <c r="A1256" s="2">
        <v>44148.688275462962</v>
      </c>
      <c r="B1256" t="s">
        <v>1247</v>
      </c>
      <c r="C1256" t="s">
        <v>2101</v>
      </c>
      <c r="D1256" t="s">
        <v>2424</v>
      </c>
      <c r="E1256" t="s">
        <v>3058</v>
      </c>
      <c r="F1256" t="str">
        <f>HYPERLINK("https://vsd.vn/vi/ad/76225","Link")</f>
        <v>Link</v>
      </c>
    </row>
    <row r="1257" spans="1:6" x14ac:dyDescent="0.25">
      <c r="A1257" s="2">
        <v>44148.675219907411</v>
      </c>
      <c r="B1257" t="s">
        <v>1248</v>
      </c>
      <c r="C1257" t="s">
        <v>2102</v>
      </c>
      <c r="D1257" t="s">
        <v>2425</v>
      </c>
      <c r="F1257" t="str">
        <f>HYPERLINK("https://vsd.vn/vi/ad/76273","Link")</f>
        <v>Link</v>
      </c>
    </row>
    <row r="1258" spans="1:6" x14ac:dyDescent="0.25">
      <c r="A1258" s="2">
        <v>44148.66914351852</v>
      </c>
      <c r="B1258" t="s">
        <v>1249</v>
      </c>
      <c r="C1258" t="s">
        <v>1485</v>
      </c>
      <c r="D1258" t="s">
        <v>2428</v>
      </c>
      <c r="E1258" t="s">
        <v>3070</v>
      </c>
      <c r="F1258" t="str">
        <f>HYPERLINK("https://vsd.vn/vi/ad/76251","Link")</f>
        <v>Link</v>
      </c>
    </row>
    <row r="1259" spans="1:6" x14ac:dyDescent="0.25">
      <c r="A1259" s="2">
        <v>44148.352442129632</v>
      </c>
      <c r="B1259" t="s">
        <v>1250</v>
      </c>
      <c r="D1259" t="s">
        <v>2431</v>
      </c>
      <c r="F1259" t="str">
        <f>HYPERLINK("https://vsd.vn/vi/ad/76233","Link")</f>
        <v>Link</v>
      </c>
    </row>
    <row r="1260" spans="1:6" x14ac:dyDescent="0.25">
      <c r="A1260" s="2">
        <v>44147.706053240741</v>
      </c>
      <c r="B1260" t="s">
        <v>1251</v>
      </c>
      <c r="C1260" t="s">
        <v>2103</v>
      </c>
      <c r="D1260" t="s">
        <v>2423</v>
      </c>
      <c r="E1260" t="s">
        <v>3036</v>
      </c>
      <c r="F1260" t="str">
        <f>HYPERLINK("https://vsd.vn/vi/ad/76211","Link")</f>
        <v>Link</v>
      </c>
    </row>
    <row r="1261" spans="1:6" x14ac:dyDescent="0.25">
      <c r="A1261" s="2">
        <v>44147.705810185187</v>
      </c>
      <c r="B1261" t="s">
        <v>1252</v>
      </c>
      <c r="C1261" t="s">
        <v>1477</v>
      </c>
      <c r="D1261" t="s">
        <v>2433</v>
      </c>
      <c r="E1261" t="s">
        <v>3075</v>
      </c>
      <c r="F1261" t="str">
        <f>HYPERLINK("https://vsd.vn/vi/ad/76199","Link")</f>
        <v>Link</v>
      </c>
    </row>
    <row r="1262" spans="1:6" x14ac:dyDescent="0.25">
      <c r="A1262" s="2">
        <v>44147.666018518517</v>
      </c>
      <c r="B1262" t="s">
        <v>1253</v>
      </c>
      <c r="C1262" t="s">
        <v>2104</v>
      </c>
      <c r="D1262" t="s">
        <v>2424</v>
      </c>
      <c r="E1262" t="s">
        <v>3076</v>
      </c>
      <c r="F1262" t="str">
        <f>HYPERLINK("https://vsd.vn/vi/ad/76216","Link")</f>
        <v>Link</v>
      </c>
    </row>
    <row r="1263" spans="1:6" x14ac:dyDescent="0.25">
      <c r="A1263" s="2">
        <v>44147.646678240737</v>
      </c>
      <c r="B1263" t="s">
        <v>1254</v>
      </c>
      <c r="C1263" t="s">
        <v>2105</v>
      </c>
      <c r="D1263" t="s">
        <v>2433</v>
      </c>
      <c r="E1263" t="s">
        <v>3077</v>
      </c>
      <c r="F1263" t="str">
        <f>HYPERLINK("https://vsd.vn/vi/ad/76214","Link")</f>
        <v>Link</v>
      </c>
    </row>
    <row r="1264" spans="1:6" x14ac:dyDescent="0.25">
      <c r="A1264" s="2">
        <v>44147.637928240743</v>
      </c>
      <c r="B1264" t="s">
        <v>1255</v>
      </c>
      <c r="C1264" t="s">
        <v>1480</v>
      </c>
      <c r="D1264" t="s">
        <v>2434</v>
      </c>
      <c r="E1264" t="s">
        <v>3036</v>
      </c>
      <c r="F1264" t="str">
        <f>HYPERLINK("https://vsd.vn/vi/ad/76212","Link")</f>
        <v>Link</v>
      </c>
    </row>
    <row r="1265" spans="1:6" x14ac:dyDescent="0.25">
      <c r="A1265" s="2">
        <v>44147.630960648137</v>
      </c>
      <c r="B1265" t="s">
        <v>1256</v>
      </c>
      <c r="C1265" t="s">
        <v>2106</v>
      </c>
      <c r="D1265" t="s">
        <v>2435</v>
      </c>
      <c r="F1265" t="str">
        <f>HYPERLINK("https://vsd.vn/vi/ad/76210","Link")</f>
        <v>Link</v>
      </c>
    </row>
    <row r="1266" spans="1:6" x14ac:dyDescent="0.25">
      <c r="A1266" s="2">
        <v>44147.610335648147</v>
      </c>
      <c r="B1266" t="s">
        <v>1257</v>
      </c>
      <c r="C1266" t="s">
        <v>2107</v>
      </c>
      <c r="D1266" t="s">
        <v>2424</v>
      </c>
      <c r="E1266" t="s">
        <v>3078</v>
      </c>
      <c r="F1266" t="str">
        <f>HYPERLINK("https://vsd.vn/vi/ad/76198","Link")</f>
        <v>Link</v>
      </c>
    </row>
    <row r="1267" spans="1:6" x14ac:dyDescent="0.25">
      <c r="A1267" s="2">
        <v>44147.549502314818</v>
      </c>
      <c r="B1267" t="s">
        <v>1258</v>
      </c>
      <c r="C1267" t="s">
        <v>2108</v>
      </c>
      <c r="D1267" t="s">
        <v>2433</v>
      </c>
      <c r="E1267" t="s">
        <v>3070</v>
      </c>
      <c r="F1267" t="str">
        <f>HYPERLINK("https://vsd.vn/vi/ad/76196","Link")</f>
        <v>Link</v>
      </c>
    </row>
    <row r="1268" spans="1:6" x14ac:dyDescent="0.25">
      <c r="A1268" s="2">
        <v>44147.416666666657</v>
      </c>
      <c r="B1268" t="s">
        <v>1259</v>
      </c>
      <c r="C1268" t="s">
        <v>2109</v>
      </c>
      <c r="D1268" t="s">
        <v>2434</v>
      </c>
      <c r="E1268" t="s">
        <v>3079</v>
      </c>
      <c r="F1268" t="str">
        <f>HYPERLINK("https://vsd.vn/vi/ad/76189","Link")</f>
        <v>Link</v>
      </c>
    </row>
    <row r="1269" spans="1:6" x14ac:dyDescent="0.25">
      <c r="A1269" s="2">
        <v>44147.366932870369</v>
      </c>
      <c r="B1269" t="s">
        <v>1260</v>
      </c>
      <c r="C1269" t="s">
        <v>2110</v>
      </c>
      <c r="D1269" t="s">
        <v>2433</v>
      </c>
      <c r="F1269" t="str">
        <f>HYPERLINK("https://vsd.vn/vi/ad/76158","Link")</f>
        <v>Link</v>
      </c>
    </row>
    <row r="1270" spans="1:6" x14ac:dyDescent="0.25">
      <c r="A1270" s="2">
        <v>44146.698611111111</v>
      </c>
      <c r="B1270" t="s">
        <v>1261</v>
      </c>
      <c r="C1270" t="s">
        <v>2111</v>
      </c>
      <c r="D1270" t="s">
        <v>2435</v>
      </c>
      <c r="E1270" t="s">
        <v>3080</v>
      </c>
      <c r="F1270" t="str">
        <f>HYPERLINK("https://vsd.vn/vi/ad/76136","Link")</f>
        <v>Link</v>
      </c>
    </row>
    <row r="1271" spans="1:6" x14ac:dyDescent="0.25">
      <c r="A1271" s="2">
        <v>44146.685162037043</v>
      </c>
      <c r="B1271" t="s">
        <v>1262</v>
      </c>
      <c r="C1271" t="s">
        <v>1484</v>
      </c>
      <c r="D1271" t="s">
        <v>2428</v>
      </c>
      <c r="E1271" t="s">
        <v>3071</v>
      </c>
      <c r="F1271" t="str">
        <f>HYPERLINK("https://vsd.vn/vi/ad/76178","Link")</f>
        <v>Link</v>
      </c>
    </row>
    <row r="1272" spans="1:6" x14ac:dyDescent="0.25">
      <c r="A1272" s="2">
        <v>44146.639814814807</v>
      </c>
      <c r="B1272" t="s">
        <v>1263</v>
      </c>
      <c r="C1272" t="s">
        <v>1781</v>
      </c>
      <c r="D1272" t="s">
        <v>2432</v>
      </c>
      <c r="E1272" t="s">
        <v>3065</v>
      </c>
      <c r="F1272" t="str">
        <f>HYPERLINK("https://vsd.vn/vi/ad/76181","Link")</f>
        <v>Link</v>
      </c>
    </row>
    <row r="1273" spans="1:6" x14ac:dyDescent="0.25">
      <c r="A1273" s="2">
        <v>44146.615428240737</v>
      </c>
      <c r="B1273" t="s">
        <v>1264</v>
      </c>
      <c r="D1273" t="s">
        <v>2435</v>
      </c>
      <c r="F1273" t="str">
        <f>HYPERLINK("https://vsd.vn/vi/ad/76180","Link")</f>
        <v>Link</v>
      </c>
    </row>
    <row r="1274" spans="1:6" x14ac:dyDescent="0.25">
      <c r="A1274" s="2">
        <v>44146.564560185187</v>
      </c>
      <c r="B1274" t="s">
        <v>1265</v>
      </c>
      <c r="D1274" t="s">
        <v>2428</v>
      </c>
      <c r="F1274" t="str">
        <f>HYPERLINK("https://vsd.vn/vi/ad/76157","Link")</f>
        <v>Link</v>
      </c>
    </row>
    <row r="1275" spans="1:6" x14ac:dyDescent="0.25">
      <c r="A1275" s="2">
        <v>44145.714537037027</v>
      </c>
      <c r="B1275" t="s">
        <v>1266</v>
      </c>
      <c r="C1275" t="s">
        <v>2112</v>
      </c>
      <c r="D1275" t="s">
        <v>2431</v>
      </c>
      <c r="E1275" t="s">
        <v>3042</v>
      </c>
      <c r="F1275" t="str">
        <f>HYPERLINK("https://vsd.vn/vi/ad/76141","Link")</f>
        <v>Link</v>
      </c>
    </row>
    <row r="1276" spans="1:6" x14ac:dyDescent="0.25">
      <c r="A1276" s="2">
        <v>44145.703032407408</v>
      </c>
      <c r="B1276" t="s">
        <v>1267</v>
      </c>
      <c r="C1276" t="s">
        <v>2113</v>
      </c>
      <c r="D1276" t="s">
        <v>2436</v>
      </c>
      <c r="E1276" t="s">
        <v>3066</v>
      </c>
      <c r="F1276" t="str">
        <f>HYPERLINK("https://vsd.vn/vi/ad/76127","Link")</f>
        <v>Link</v>
      </c>
    </row>
    <row r="1277" spans="1:6" x14ac:dyDescent="0.25">
      <c r="A1277" s="2">
        <v>44145.702118055553</v>
      </c>
      <c r="B1277" t="s">
        <v>1268</v>
      </c>
      <c r="C1277" t="s">
        <v>2114</v>
      </c>
      <c r="D1277" t="s">
        <v>2430</v>
      </c>
      <c r="E1277" t="s">
        <v>3075</v>
      </c>
      <c r="F1277" t="str">
        <f>HYPERLINK("https://vsd.vn/vi/ad/76126","Link")</f>
        <v>Link</v>
      </c>
    </row>
    <row r="1278" spans="1:6" x14ac:dyDescent="0.25">
      <c r="A1278" s="2">
        <v>44145.675717592603</v>
      </c>
      <c r="B1278" t="s">
        <v>1269</v>
      </c>
      <c r="C1278" t="s">
        <v>1533</v>
      </c>
      <c r="D1278" t="s">
        <v>2431</v>
      </c>
      <c r="E1278" t="s">
        <v>3055</v>
      </c>
      <c r="F1278" t="str">
        <f>HYPERLINK("https://vsd.vn/vi/ad/76145","Link")</f>
        <v>Link</v>
      </c>
    </row>
    <row r="1279" spans="1:6" x14ac:dyDescent="0.25">
      <c r="A1279" s="2">
        <v>44145.625474537039</v>
      </c>
      <c r="B1279" t="s">
        <v>1270</v>
      </c>
      <c r="C1279" t="s">
        <v>1472</v>
      </c>
      <c r="D1279" t="s">
        <v>2436</v>
      </c>
      <c r="E1279" t="s">
        <v>3081</v>
      </c>
      <c r="F1279" t="str">
        <f>HYPERLINK("https://vsd.vn/vi/ad/76137","Link")</f>
        <v>Link</v>
      </c>
    </row>
    <row r="1280" spans="1:6" x14ac:dyDescent="0.25">
      <c r="A1280" s="2">
        <v>44145.61440972222</v>
      </c>
      <c r="B1280" t="s">
        <v>1271</v>
      </c>
      <c r="C1280" t="s">
        <v>2115</v>
      </c>
      <c r="D1280" t="s">
        <v>2436</v>
      </c>
      <c r="E1280" t="s">
        <v>3075</v>
      </c>
      <c r="F1280" t="str">
        <f>HYPERLINK("https://vsd.vn/vi/ad/76129","Link")</f>
        <v>Link</v>
      </c>
    </row>
    <row r="1281" spans="1:6" x14ac:dyDescent="0.25">
      <c r="A1281" s="2">
        <v>44145.609652777777</v>
      </c>
      <c r="B1281" t="s">
        <v>948</v>
      </c>
      <c r="F1281" t="str">
        <f>HYPERLINK("https://vsd.vn/vi/ad/76130","Link")</f>
        <v>Link</v>
      </c>
    </row>
    <row r="1282" spans="1:6" x14ac:dyDescent="0.25">
      <c r="A1282" s="2">
        <v>44145.609143518523</v>
      </c>
      <c r="B1282" t="s">
        <v>1272</v>
      </c>
      <c r="F1282" t="str">
        <f>HYPERLINK("https://vsd.vn/vi/ad/76131","Link")</f>
        <v>Link</v>
      </c>
    </row>
    <row r="1283" spans="1:6" x14ac:dyDescent="0.25">
      <c r="A1283" s="2">
        <v>44145.600937499999</v>
      </c>
      <c r="B1283" t="s">
        <v>1273</v>
      </c>
      <c r="C1283" t="s">
        <v>1539</v>
      </c>
      <c r="D1283" t="s">
        <v>2433</v>
      </c>
      <c r="E1283" t="s">
        <v>3082</v>
      </c>
      <c r="F1283" t="str">
        <f>HYPERLINK("https://vsd.vn/vi/ad/76125","Link")</f>
        <v>Link</v>
      </c>
    </row>
    <row r="1284" spans="1:6" x14ac:dyDescent="0.25">
      <c r="A1284" s="2">
        <v>44145.596666666657</v>
      </c>
      <c r="B1284" t="s">
        <v>1274</v>
      </c>
      <c r="C1284" t="s">
        <v>2116</v>
      </c>
      <c r="D1284" t="s">
        <v>2435</v>
      </c>
      <c r="F1284" t="str">
        <f>HYPERLINK("https://vsd.vn/vi/ad/76124","Link")</f>
        <v>Link</v>
      </c>
    </row>
    <row r="1285" spans="1:6" x14ac:dyDescent="0.25">
      <c r="A1285" s="2">
        <v>44145.506122685183</v>
      </c>
      <c r="B1285" t="s">
        <v>1275</v>
      </c>
      <c r="E1285" t="s">
        <v>3083</v>
      </c>
      <c r="F1285" t="str">
        <f>HYPERLINK("https://vsd.vn/vi/ad/76123","Link")</f>
        <v>Link</v>
      </c>
    </row>
    <row r="1286" spans="1:6" x14ac:dyDescent="0.25">
      <c r="A1286" s="2">
        <v>44145.373576388891</v>
      </c>
      <c r="B1286" t="s">
        <v>1276</v>
      </c>
      <c r="C1286" t="s">
        <v>2117</v>
      </c>
      <c r="D1286" t="s">
        <v>2435</v>
      </c>
      <c r="F1286" t="str">
        <f>HYPERLINK("https://vsd.vn/vi/ad/76121","Link")</f>
        <v>Link</v>
      </c>
    </row>
    <row r="1287" spans="1:6" x14ac:dyDescent="0.25">
      <c r="A1287" s="2">
        <v>44145.372106481482</v>
      </c>
      <c r="B1287" t="s">
        <v>1277</v>
      </c>
      <c r="C1287" t="s">
        <v>2028</v>
      </c>
      <c r="D1287" t="s">
        <v>2434</v>
      </c>
      <c r="E1287" t="s">
        <v>3058</v>
      </c>
      <c r="F1287" t="str">
        <f>HYPERLINK("https://vsd.vn/vi/ad/76114","Link")</f>
        <v>Link</v>
      </c>
    </row>
    <row r="1288" spans="1:6" x14ac:dyDescent="0.25">
      <c r="A1288" s="2">
        <v>44144.723749999997</v>
      </c>
      <c r="B1288" t="s">
        <v>1278</v>
      </c>
      <c r="C1288" t="s">
        <v>2118</v>
      </c>
      <c r="D1288" t="s">
        <v>2425</v>
      </c>
      <c r="E1288" t="s">
        <v>3084</v>
      </c>
      <c r="F1288" t="str">
        <f>HYPERLINK("https://vsd.vn/vi/ad/76116","Link")</f>
        <v>Link</v>
      </c>
    </row>
    <row r="1289" spans="1:6" x14ac:dyDescent="0.25">
      <c r="A1289" s="2">
        <v>44144.714456018519</v>
      </c>
      <c r="B1289" t="s">
        <v>1279</v>
      </c>
      <c r="C1289" t="s">
        <v>2032</v>
      </c>
      <c r="D1289" t="s">
        <v>2432</v>
      </c>
      <c r="E1289" t="s">
        <v>3061</v>
      </c>
      <c r="F1289" t="str">
        <f>HYPERLINK("https://vsd.vn/vi/ad/76109","Link")</f>
        <v>Link</v>
      </c>
    </row>
    <row r="1290" spans="1:6" x14ac:dyDescent="0.25">
      <c r="A1290" s="2">
        <v>44144.714131944442</v>
      </c>
      <c r="B1290" t="s">
        <v>1280</v>
      </c>
      <c r="C1290" t="s">
        <v>1838</v>
      </c>
      <c r="D1290" t="s">
        <v>2435</v>
      </c>
      <c r="E1290" t="s">
        <v>3066</v>
      </c>
      <c r="F1290" t="str">
        <f>HYPERLINK("https://vsd.vn/vi/ad/76110","Link")</f>
        <v>Link</v>
      </c>
    </row>
    <row r="1291" spans="1:6" x14ac:dyDescent="0.25">
      <c r="A1291" s="2">
        <v>44144.710625</v>
      </c>
      <c r="B1291" t="s">
        <v>1281</v>
      </c>
      <c r="C1291" t="s">
        <v>2119</v>
      </c>
      <c r="D1291" t="s">
        <v>2437</v>
      </c>
      <c r="F1291" t="str">
        <f>HYPERLINK("https://vsd.vn/vi/ad/76105","Link")</f>
        <v>Link</v>
      </c>
    </row>
    <row r="1292" spans="1:6" x14ac:dyDescent="0.25">
      <c r="A1292" s="2">
        <v>44144.709675925929</v>
      </c>
      <c r="B1292" t="s">
        <v>1282</v>
      </c>
      <c r="C1292" t="s">
        <v>2120</v>
      </c>
      <c r="D1292" t="s">
        <v>2434</v>
      </c>
      <c r="F1292" t="str">
        <f>HYPERLINK("https://vsd.vn/vi/ad/76106","Link")</f>
        <v>Link</v>
      </c>
    </row>
    <row r="1293" spans="1:6" x14ac:dyDescent="0.25">
      <c r="A1293" s="2">
        <v>44144.707951388889</v>
      </c>
      <c r="B1293" t="s">
        <v>1283</v>
      </c>
      <c r="C1293" t="s">
        <v>2121</v>
      </c>
      <c r="D1293" t="s">
        <v>2431</v>
      </c>
      <c r="F1293" t="str">
        <f>HYPERLINK("https://vsd.vn/vi/ad/76112","Link")</f>
        <v>Link</v>
      </c>
    </row>
    <row r="1294" spans="1:6" x14ac:dyDescent="0.25">
      <c r="A1294" s="2">
        <v>44144.707939814813</v>
      </c>
      <c r="B1294" t="s">
        <v>1284</v>
      </c>
      <c r="C1294" t="s">
        <v>1479</v>
      </c>
      <c r="D1294" t="s">
        <v>2435</v>
      </c>
      <c r="E1294" t="s">
        <v>3085</v>
      </c>
      <c r="F1294" t="str">
        <f>HYPERLINK("https://vsd.vn/vi/ad/76119","Link")</f>
        <v>Link</v>
      </c>
    </row>
    <row r="1295" spans="1:6" x14ac:dyDescent="0.25">
      <c r="A1295" s="2">
        <v>44144.69321759259</v>
      </c>
      <c r="B1295" t="s">
        <v>1280</v>
      </c>
      <c r="C1295" t="s">
        <v>1838</v>
      </c>
      <c r="D1295" t="s">
        <v>2435</v>
      </c>
      <c r="E1295" t="s">
        <v>3066</v>
      </c>
      <c r="F1295" t="str">
        <f>HYPERLINK("https://vsd.vn/vi/ad/76113","Link")</f>
        <v>Link</v>
      </c>
    </row>
    <row r="1296" spans="1:6" x14ac:dyDescent="0.25">
      <c r="A1296" s="2">
        <v>44144.665937500002</v>
      </c>
      <c r="B1296" t="s">
        <v>1285</v>
      </c>
      <c r="C1296" t="s">
        <v>2122</v>
      </c>
      <c r="D1296" t="s">
        <v>2435</v>
      </c>
      <c r="E1296" t="s">
        <v>3086</v>
      </c>
      <c r="F1296" t="str">
        <f>HYPERLINK("https://vsd.vn/vi/ad/76103","Link")</f>
        <v>Link</v>
      </c>
    </row>
    <row r="1297" spans="1:6" x14ac:dyDescent="0.25">
      <c r="A1297" s="2">
        <v>44144.611192129632</v>
      </c>
      <c r="B1297" t="s">
        <v>1286</v>
      </c>
      <c r="C1297" t="s">
        <v>2123</v>
      </c>
      <c r="D1297" t="s">
        <v>2436</v>
      </c>
      <c r="E1297" t="s">
        <v>3036</v>
      </c>
      <c r="F1297" t="str">
        <f>HYPERLINK("https://vsd.vn/vi/ad/76101","Link")</f>
        <v>Link</v>
      </c>
    </row>
    <row r="1298" spans="1:6" x14ac:dyDescent="0.25">
      <c r="A1298" s="2">
        <v>44141.738206018519</v>
      </c>
      <c r="B1298" t="s">
        <v>1287</v>
      </c>
      <c r="F1298" t="str">
        <f>HYPERLINK("https://vsd.vn/vi/ad/76099","Link")</f>
        <v>Link</v>
      </c>
    </row>
    <row r="1299" spans="1:6" x14ac:dyDescent="0.25">
      <c r="A1299" s="2">
        <v>44141.710833333331</v>
      </c>
      <c r="B1299" t="s">
        <v>1288</v>
      </c>
      <c r="C1299" t="s">
        <v>2124</v>
      </c>
      <c r="D1299" t="s">
        <v>2434</v>
      </c>
      <c r="E1299" t="s">
        <v>3087</v>
      </c>
      <c r="F1299" t="str">
        <f>HYPERLINK("https://vsd.vn/vi/ad/76081","Link")</f>
        <v>Link</v>
      </c>
    </row>
    <row r="1300" spans="1:6" x14ac:dyDescent="0.25">
      <c r="A1300" s="2">
        <v>44141.705682870372</v>
      </c>
      <c r="B1300" t="s">
        <v>1289</v>
      </c>
      <c r="C1300" t="s">
        <v>2125</v>
      </c>
      <c r="D1300" t="s">
        <v>2424</v>
      </c>
      <c r="E1300" t="s">
        <v>3037</v>
      </c>
      <c r="F1300" t="str">
        <f>HYPERLINK("https://vsd.vn/vi/ad/76091","Link")</f>
        <v>Link</v>
      </c>
    </row>
    <row r="1301" spans="1:6" x14ac:dyDescent="0.25">
      <c r="A1301" s="2">
        <v>44141.693310185183</v>
      </c>
      <c r="B1301" t="s">
        <v>1290</v>
      </c>
      <c r="C1301" t="s">
        <v>2126</v>
      </c>
      <c r="D1301" t="s">
        <v>2437</v>
      </c>
      <c r="F1301" t="str">
        <f>HYPERLINK("https://vsd.vn/vi/ad/76080","Link")</f>
        <v>Link</v>
      </c>
    </row>
    <row r="1302" spans="1:6" x14ac:dyDescent="0.25">
      <c r="A1302" s="2">
        <v>44141.691747685189</v>
      </c>
      <c r="B1302" t="s">
        <v>1291</v>
      </c>
      <c r="C1302" t="s">
        <v>2127</v>
      </c>
      <c r="D1302" t="s">
        <v>2438</v>
      </c>
      <c r="E1302" t="s">
        <v>3088</v>
      </c>
      <c r="F1302" t="str">
        <f>HYPERLINK("https://vsd.vn/vi/ad/76084","Link")</f>
        <v>Link</v>
      </c>
    </row>
    <row r="1303" spans="1:6" x14ac:dyDescent="0.25">
      <c r="A1303" s="2">
        <v>44141.635231481479</v>
      </c>
      <c r="B1303" t="s">
        <v>1292</v>
      </c>
      <c r="F1303" t="str">
        <f>HYPERLINK("https://vsd.vn/vi/ad/76079","Link")</f>
        <v>Link</v>
      </c>
    </row>
    <row r="1304" spans="1:6" x14ac:dyDescent="0.25">
      <c r="A1304" s="2">
        <v>44141.631111111114</v>
      </c>
      <c r="B1304" t="s">
        <v>1293</v>
      </c>
      <c r="C1304" t="s">
        <v>2028</v>
      </c>
      <c r="D1304" t="s">
        <v>2437</v>
      </c>
      <c r="E1304" t="s">
        <v>3089</v>
      </c>
      <c r="F1304" t="str">
        <f>HYPERLINK("https://vsd.vn/vi/ad/76074","Link")</f>
        <v>Link</v>
      </c>
    </row>
    <row r="1305" spans="1:6" x14ac:dyDescent="0.25">
      <c r="A1305" s="2">
        <v>44141.382604166669</v>
      </c>
      <c r="B1305" t="s">
        <v>1294</v>
      </c>
      <c r="C1305" t="s">
        <v>1640</v>
      </c>
      <c r="D1305" t="s">
        <v>2435</v>
      </c>
      <c r="E1305" t="s">
        <v>3090</v>
      </c>
      <c r="F1305" t="str">
        <f>HYPERLINK("https://vsd.vn/vi/ad/76061","Link")</f>
        <v>Link</v>
      </c>
    </row>
    <row r="1306" spans="1:6" x14ac:dyDescent="0.25">
      <c r="A1306" s="2">
        <v>44141.371365740742</v>
      </c>
      <c r="B1306" t="s">
        <v>1295</v>
      </c>
      <c r="C1306" t="s">
        <v>2018</v>
      </c>
      <c r="D1306" t="s">
        <v>2436</v>
      </c>
      <c r="E1306" t="s">
        <v>3091</v>
      </c>
      <c r="F1306" t="str">
        <f>HYPERLINK("https://vsd.vn/vi/ad/76068","Link")</f>
        <v>Link</v>
      </c>
    </row>
    <row r="1307" spans="1:6" x14ac:dyDescent="0.25">
      <c r="A1307" s="2">
        <v>44141.369583333333</v>
      </c>
      <c r="B1307" t="s">
        <v>1296</v>
      </c>
      <c r="C1307" t="s">
        <v>2128</v>
      </c>
      <c r="D1307" t="s">
        <v>2439</v>
      </c>
      <c r="E1307" t="s">
        <v>3092</v>
      </c>
      <c r="F1307" t="str">
        <f>HYPERLINK("https://vsd.vn/vi/ad/76067","Link")</f>
        <v>Link</v>
      </c>
    </row>
    <row r="1308" spans="1:6" x14ac:dyDescent="0.25">
      <c r="A1308" s="2">
        <v>44140.758275462962</v>
      </c>
      <c r="B1308" t="s">
        <v>1297</v>
      </c>
      <c r="C1308" t="s">
        <v>2129</v>
      </c>
      <c r="D1308" t="s">
        <v>2439</v>
      </c>
      <c r="E1308" t="s">
        <v>3088</v>
      </c>
      <c r="F1308" t="str">
        <f>HYPERLINK("https://vsd.vn/vi/ad/76059","Link")</f>
        <v>Link</v>
      </c>
    </row>
    <row r="1309" spans="1:6" x14ac:dyDescent="0.25">
      <c r="A1309" s="2">
        <v>44140.7578587963</v>
      </c>
      <c r="B1309" t="s">
        <v>1298</v>
      </c>
      <c r="C1309" t="s">
        <v>1467</v>
      </c>
      <c r="D1309" t="s">
        <v>2437</v>
      </c>
      <c r="E1309" t="s">
        <v>3093</v>
      </c>
      <c r="F1309" t="str">
        <f>HYPERLINK("https://vsd.vn/vi/ad/76062","Link")</f>
        <v>Link</v>
      </c>
    </row>
    <row r="1310" spans="1:6" x14ac:dyDescent="0.25">
      <c r="A1310" s="2">
        <v>44140.748773148152</v>
      </c>
      <c r="B1310" t="s">
        <v>1299</v>
      </c>
      <c r="C1310" t="s">
        <v>2062</v>
      </c>
      <c r="D1310" t="s">
        <v>2435</v>
      </c>
      <c r="E1310" t="s">
        <v>3075</v>
      </c>
      <c r="F1310" t="str">
        <f>HYPERLINK("https://vsd.vn/vi/ad/76055","Link")</f>
        <v>Link</v>
      </c>
    </row>
    <row r="1311" spans="1:6" x14ac:dyDescent="0.25">
      <c r="A1311" s="2">
        <v>44140.748217592591</v>
      </c>
      <c r="B1311" t="s">
        <v>1300</v>
      </c>
      <c r="C1311" t="s">
        <v>2062</v>
      </c>
      <c r="D1311" t="s">
        <v>2438</v>
      </c>
      <c r="E1311" t="s">
        <v>3094</v>
      </c>
      <c r="F1311" t="str">
        <f>HYPERLINK("https://vsd.vn/vi/ad/76036","Link")</f>
        <v>Link</v>
      </c>
    </row>
    <row r="1312" spans="1:6" x14ac:dyDescent="0.25">
      <c r="A1312" s="2">
        <v>44140.603171296287</v>
      </c>
      <c r="B1312" t="s">
        <v>1301</v>
      </c>
      <c r="C1312" t="s">
        <v>1467</v>
      </c>
      <c r="D1312" t="s">
        <v>2436</v>
      </c>
      <c r="E1312" t="s">
        <v>3095</v>
      </c>
      <c r="F1312" t="str">
        <f>HYPERLINK("https://vsd.vn/vi/ad/76049","Link")</f>
        <v>Link</v>
      </c>
    </row>
    <row r="1313" spans="1:6" x14ac:dyDescent="0.25">
      <c r="A1313" s="2">
        <v>44140.598634259259</v>
      </c>
      <c r="B1313" t="s">
        <v>1302</v>
      </c>
      <c r="C1313" t="s">
        <v>2130</v>
      </c>
      <c r="D1313" t="s">
        <v>2439</v>
      </c>
      <c r="F1313" t="str">
        <f>HYPERLINK("https://vsd.vn/vi/ad/76056","Link")</f>
        <v>Link</v>
      </c>
    </row>
    <row r="1314" spans="1:6" x14ac:dyDescent="0.25">
      <c r="A1314" s="2">
        <v>44140.425682870373</v>
      </c>
      <c r="B1314" t="s">
        <v>1303</v>
      </c>
      <c r="F1314" t="str">
        <f>HYPERLINK("https://vsd.vn/vi/ad/76047","Link")</f>
        <v>Link</v>
      </c>
    </row>
    <row r="1315" spans="1:6" x14ac:dyDescent="0.25">
      <c r="A1315" s="2">
        <v>44139.686273148152</v>
      </c>
      <c r="B1315" t="s">
        <v>1304</v>
      </c>
      <c r="C1315" t="s">
        <v>2131</v>
      </c>
      <c r="D1315" t="s">
        <v>2435</v>
      </c>
      <c r="F1315" t="str">
        <f>HYPERLINK("https://vsd.vn/vi/ad/76033","Link")</f>
        <v>Link</v>
      </c>
    </row>
    <row r="1316" spans="1:6" x14ac:dyDescent="0.25">
      <c r="A1316" s="2">
        <v>44139.68550925926</v>
      </c>
      <c r="B1316" t="s">
        <v>1305</v>
      </c>
      <c r="C1316" t="s">
        <v>2132</v>
      </c>
      <c r="D1316" t="s">
        <v>2435</v>
      </c>
      <c r="E1316" t="s">
        <v>3093</v>
      </c>
      <c r="F1316" t="str">
        <f>HYPERLINK("https://vsd.vn/vi/ad/76034","Link")</f>
        <v>Link</v>
      </c>
    </row>
    <row r="1317" spans="1:6" x14ac:dyDescent="0.25">
      <c r="A1317" s="2">
        <v>44139.680625000001</v>
      </c>
      <c r="B1317" t="s">
        <v>1306</v>
      </c>
      <c r="C1317" t="s">
        <v>2133</v>
      </c>
      <c r="D1317" t="s">
        <v>2435</v>
      </c>
      <c r="E1317" t="s">
        <v>3086</v>
      </c>
      <c r="F1317" t="str">
        <f>HYPERLINK("https://vsd.vn/vi/ad/76041","Link")</f>
        <v>Link</v>
      </c>
    </row>
    <row r="1318" spans="1:6" x14ac:dyDescent="0.25">
      <c r="A1318" s="2">
        <v>44139.676249999997</v>
      </c>
      <c r="B1318" t="s">
        <v>1307</v>
      </c>
      <c r="C1318" t="s">
        <v>2134</v>
      </c>
      <c r="D1318" t="s">
        <v>2435</v>
      </c>
      <c r="E1318" t="s">
        <v>3060</v>
      </c>
      <c r="F1318" t="str">
        <f>HYPERLINK("https://vsd.vn/vi/ad/76040","Link")</f>
        <v>Link</v>
      </c>
    </row>
    <row r="1319" spans="1:6" x14ac:dyDescent="0.25">
      <c r="A1319" s="2">
        <v>44139.674710648149</v>
      </c>
      <c r="B1319" t="s">
        <v>1308</v>
      </c>
      <c r="C1319" t="s">
        <v>1468</v>
      </c>
      <c r="D1319" t="s">
        <v>2438</v>
      </c>
      <c r="E1319" t="s">
        <v>3093</v>
      </c>
      <c r="F1319" t="str">
        <f>HYPERLINK("https://vsd.vn/vi/ad/76039","Link")</f>
        <v>Link</v>
      </c>
    </row>
    <row r="1320" spans="1:6" x14ac:dyDescent="0.25">
      <c r="A1320" s="2">
        <v>44139.589155092603</v>
      </c>
      <c r="B1320" t="s">
        <v>1309</v>
      </c>
      <c r="C1320" t="s">
        <v>1975</v>
      </c>
      <c r="D1320" t="s">
        <v>2439</v>
      </c>
      <c r="E1320" t="s">
        <v>3096</v>
      </c>
      <c r="F1320" t="str">
        <f>HYPERLINK("https://vsd.vn/vi/ad/76028","Link")</f>
        <v>Link</v>
      </c>
    </row>
    <row r="1321" spans="1:6" x14ac:dyDescent="0.25">
      <c r="A1321" s="2">
        <v>44139.588263888887</v>
      </c>
      <c r="B1321" t="s">
        <v>1310</v>
      </c>
      <c r="C1321" t="s">
        <v>2135</v>
      </c>
      <c r="D1321" t="s">
        <v>2431</v>
      </c>
      <c r="E1321" t="s">
        <v>3097</v>
      </c>
      <c r="F1321" t="str">
        <f>HYPERLINK("https://vsd.vn/vi/ad/76029","Link")</f>
        <v>Link</v>
      </c>
    </row>
    <row r="1322" spans="1:6" x14ac:dyDescent="0.25">
      <c r="A1322" s="2">
        <v>44139.459374999999</v>
      </c>
      <c r="B1322" t="s">
        <v>1311</v>
      </c>
      <c r="D1322" t="s">
        <v>2434</v>
      </c>
      <c r="E1322" t="s">
        <v>3098</v>
      </c>
      <c r="F1322" t="str">
        <f>HYPERLINK("https://vsd.vn/vi/ad/76015","Link")</f>
        <v>Link</v>
      </c>
    </row>
    <row r="1323" spans="1:6" x14ac:dyDescent="0.25">
      <c r="A1323" s="2">
        <v>44139.458368055559</v>
      </c>
      <c r="B1323" t="s">
        <v>1312</v>
      </c>
      <c r="C1323" t="s">
        <v>2136</v>
      </c>
      <c r="D1323" t="s">
        <v>2434</v>
      </c>
      <c r="E1323" t="s">
        <v>3099</v>
      </c>
      <c r="F1323" t="str">
        <f>HYPERLINK("https://vsd.vn/vi/ad/76025","Link")</f>
        <v>Link</v>
      </c>
    </row>
    <row r="1324" spans="1:6" x14ac:dyDescent="0.25">
      <c r="A1324" s="2">
        <v>44139.45449074074</v>
      </c>
      <c r="B1324" t="s">
        <v>1313</v>
      </c>
      <c r="F1324" t="str">
        <f>HYPERLINK("https://vsd.vn/vi/ad/76026","Link")</f>
        <v>Link</v>
      </c>
    </row>
    <row r="1325" spans="1:6" x14ac:dyDescent="0.25">
      <c r="A1325" s="2">
        <v>44138.62400462963</v>
      </c>
      <c r="B1325" t="s">
        <v>1314</v>
      </c>
      <c r="C1325" t="s">
        <v>2137</v>
      </c>
      <c r="D1325" t="s">
        <v>2438</v>
      </c>
      <c r="E1325" t="s">
        <v>3075</v>
      </c>
      <c r="F1325" t="str">
        <f>HYPERLINK("https://vsd.vn/vi/ad/76009","Link")</f>
        <v>Link</v>
      </c>
    </row>
    <row r="1326" spans="1:6" x14ac:dyDescent="0.25">
      <c r="A1326" s="2">
        <v>44138.622118055559</v>
      </c>
      <c r="B1326" t="s">
        <v>1315</v>
      </c>
      <c r="C1326" t="s">
        <v>2138</v>
      </c>
      <c r="D1326" t="s">
        <v>2440</v>
      </c>
      <c r="E1326" t="s">
        <v>3081</v>
      </c>
      <c r="F1326" t="str">
        <f>HYPERLINK("https://vsd.vn/vi/ad/76018","Link")</f>
        <v>Link</v>
      </c>
    </row>
    <row r="1327" spans="1:6" x14ac:dyDescent="0.25">
      <c r="A1327" s="2">
        <v>44138.612893518519</v>
      </c>
      <c r="B1327" t="s">
        <v>1316</v>
      </c>
      <c r="C1327" t="s">
        <v>2139</v>
      </c>
      <c r="D1327" t="s">
        <v>2438</v>
      </c>
      <c r="E1327" t="s">
        <v>3089</v>
      </c>
      <c r="F1327" t="str">
        <f>HYPERLINK("https://vsd.vn/vi/ad/76016","Link")</f>
        <v>Link</v>
      </c>
    </row>
    <row r="1328" spans="1:6" x14ac:dyDescent="0.25">
      <c r="A1328" s="2">
        <v>44138.604872685188</v>
      </c>
      <c r="B1328" t="s">
        <v>1317</v>
      </c>
      <c r="C1328" t="s">
        <v>2140</v>
      </c>
      <c r="D1328" t="s">
        <v>2441</v>
      </c>
      <c r="E1328" t="s">
        <v>3100</v>
      </c>
      <c r="F1328" t="str">
        <f>HYPERLINK("https://vsd.vn/vi/ad/76014","Link")</f>
        <v>Link</v>
      </c>
    </row>
    <row r="1329" spans="1:6" x14ac:dyDescent="0.25">
      <c r="A1329" s="2">
        <v>44138.419525462959</v>
      </c>
      <c r="B1329" t="s">
        <v>1318</v>
      </c>
      <c r="C1329" t="s">
        <v>2141</v>
      </c>
      <c r="D1329" t="s">
        <v>2438</v>
      </c>
      <c r="E1329" t="s">
        <v>3093</v>
      </c>
      <c r="F1329" t="str">
        <f>HYPERLINK("https://vsd.vn/vi/ad/76003","Link")</f>
        <v>Link</v>
      </c>
    </row>
    <row r="1330" spans="1:6" x14ac:dyDescent="0.25">
      <c r="A1330" s="2">
        <v>44134.723553240743</v>
      </c>
      <c r="B1330" t="s">
        <v>1319</v>
      </c>
      <c r="C1330" t="s">
        <v>2142</v>
      </c>
      <c r="D1330" t="s">
        <v>2435</v>
      </c>
      <c r="E1330" t="s">
        <v>3069</v>
      </c>
      <c r="F1330" t="str">
        <f>HYPERLINK("https://vsd.vn/vi/ad/75979","Link")</f>
        <v>Link</v>
      </c>
    </row>
    <row r="1331" spans="1:6" x14ac:dyDescent="0.25">
      <c r="A1331" s="2">
        <v>44134.690335648149</v>
      </c>
      <c r="B1331" t="s">
        <v>1320</v>
      </c>
      <c r="E1331" t="s">
        <v>3101</v>
      </c>
      <c r="F1331" t="str">
        <f>HYPERLINK("https://vsd.vn/vi/ad/75972","Link")</f>
        <v>Link</v>
      </c>
    </row>
    <row r="1332" spans="1:6" x14ac:dyDescent="0.25">
      <c r="A1332" s="2">
        <v>44134.689305555563</v>
      </c>
      <c r="B1332" t="s">
        <v>1321</v>
      </c>
      <c r="C1332" t="s">
        <v>2143</v>
      </c>
      <c r="D1332" t="s">
        <v>2439</v>
      </c>
      <c r="E1332" t="s">
        <v>3102</v>
      </c>
      <c r="F1332" t="str">
        <f>HYPERLINK("https://vsd.vn/vi/ad/75976","Link")</f>
        <v>Link</v>
      </c>
    </row>
    <row r="1333" spans="1:6" x14ac:dyDescent="0.25">
      <c r="A1333" s="2">
        <v>44134.638622685183</v>
      </c>
      <c r="B1333" t="s">
        <v>1322</v>
      </c>
      <c r="C1333" t="s">
        <v>1640</v>
      </c>
      <c r="D1333" t="s">
        <v>2442</v>
      </c>
      <c r="E1333" t="s">
        <v>3103</v>
      </c>
      <c r="F1333" t="str">
        <f>HYPERLINK("https://vsd.vn/vi/ad/75973","Link")</f>
        <v>Link</v>
      </c>
    </row>
    <row r="1334" spans="1:6" x14ac:dyDescent="0.25">
      <c r="A1334" s="2">
        <v>44134.622881944437</v>
      </c>
      <c r="B1334" t="s">
        <v>1323</v>
      </c>
      <c r="C1334" t="s">
        <v>2144</v>
      </c>
      <c r="D1334" t="s">
        <v>2434</v>
      </c>
      <c r="E1334" t="s">
        <v>3104</v>
      </c>
      <c r="F1334" t="str">
        <f>HYPERLINK("https://vsd.vn/vi/ad/75966","Link")</f>
        <v>Link</v>
      </c>
    </row>
    <row r="1335" spans="1:6" x14ac:dyDescent="0.25">
      <c r="A1335" s="2">
        <v>44133.695092592592</v>
      </c>
      <c r="B1335" t="s">
        <v>1324</v>
      </c>
      <c r="C1335" t="s">
        <v>1467</v>
      </c>
      <c r="D1335" t="s">
        <v>2438</v>
      </c>
      <c r="E1335" t="s">
        <v>3085</v>
      </c>
      <c r="F1335" t="str">
        <f>HYPERLINK("https://vsd.vn/vi/ad/75944","Link")</f>
        <v>Link</v>
      </c>
    </row>
    <row r="1336" spans="1:6" x14ac:dyDescent="0.25">
      <c r="A1336" s="2">
        <v>44133.692546296297</v>
      </c>
      <c r="B1336" t="s">
        <v>1325</v>
      </c>
      <c r="C1336" t="s">
        <v>2145</v>
      </c>
      <c r="D1336" t="s">
        <v>2435</v>
      </c>
      <c r="E1336" t="s">
        <v>3105</v>
      </c>
      <c r="F1336" t="str">
        <f>HYPERLINK("https://vsd.vn/vi/ad/75943","Link")</f>
        <v>Link</v>
      </c>
    </row>
    <row r="1337" spans="1:6" x14ac:dyDescent="0.25">
      <c r="A1337" s="2">
        <v>44133.602465277778</v>
      </c>
      <c r="B1337" t="s">
        <v>1326</v>
      </c>
      <c r="C1337" t="s">
        <v>2146</v>
      </c>
      <c r="D1337" t="s">
        <v>2443</v>
      </c>
      <c r="E1337" t="s">
        <v>3106</v>
      </c>
      <c r="F1337" t="str">
        <f>HYPERLINK("https://vsd.vn/vi/ad/75937","Link")</f>
        <v>Link</v>
      </c>
    </row>
    <row r="1338" spans="1:6" x14ac:dyDescent="0.25">
      <c r="A1338" s="2">
        <v>44133.464166666658</v>
      </c>
      <c r="B1338" t="s">
        <v>1327</v>
      </c>
      <c r="F1338" t="str">
        <f>HYPERLINK("https://vsd.vn/vi/ad/75929","Link")</f>
        <v>Link</v>
      </c>
    </row>
    <row r="1339" spans="1:6" x14ac:dyDescent="0.25">
      <c r="A1339" s="2">
        <v>44132.666481481479</v>
      </c>
      <c r="B1339" t="s">
        <v>1328</v>
      </c>
      <c r="C1339" t="s">
        <v>2147</v>
      </c>
      <c r="D1339" t="s">
        <v>2444</v>
      </c>
      <c r="E1339" t="s">
        <v>3107</v>
      </c>
      <c r="F1339" t="str">
        <f>HYPERLINK("https://vsd.vn/vi/ad/75920","Link")</f>
        <v>Link</v>
      </c>
    </row>
    <row r="1340" spans="1:6" x14ac:dyDescent="0.25">
      <c r="A1340" s="2">
        <v>44132.655925925923</v>
      </c>
      <c r="B1340" t="s">
        <v>1329</v>
      </c>
      <c r="C1340" t="s">
        <v>2148</v>
      </c>
      <c r="D1340" t="s">
        <v>2442</v>
      </c>
      <c r="F1340" t="str">
        <f>HYPERLINK("https://vsd.vn/vi/ad/75918","Link")</f>
        <v>Link</v>
      </c>
    </row>
    <row r="1341" spans="1:6" x14ac:dyDescent="0.25">
      <c r="A1341" s="2">
        <v>44132.653738425928</v>
      </c>
      <c r="B1341" t="s">
        <v>1330</v>
      </c>
      <c r="C1341" t="s">
        <v>2149</v>
      </c>
      <c r="D1341" t="s">
        <v>2437</v>
      </c>
      <c r="E1341" t="s">
        <v>3108</v>
      </c>
      <c r="F1341" t="str">
        <f>HYPERLINK("https://vsd.vn/vi/ad/75917","Link")</f>
        <v>Link</v>
      </c>
    </row>
    <row r="1342" spans="1:6" x14ac:dyDescent="0.25">
      <c r="A1342" s="2">
        <v>44132.469467592593</v>
      </c>
      <c r="B1342" t="s">
        <v>1331</v>
      </c>
      <c r="C1342" t="s">
        <v>1467</v>
      </c>
      <c r="D1342" t="s">
        <v>2445</v>
      </c>
      <c r="E1342" t="s">
        <v>3109</v>
      </c>
      <c r="F1342" t="str">
        <f>HYPERLINK("https://vsd.vn/vi/ad/75880","Link")</f>
        <v>Link</v>
      </c>
    </row>
    <row r="1343" spans="1:6" x14ac:dyDescent="0.25">
      <c r="A1343" s="2">
        <v>44132.368518518517</v>
      </c>
      <c r="B1343" t="s">
        <v>1332</v>
      </c>
      <c r="C1343" t="s">
        <v>1468</v>
      </c>
      <c r="D1343" t="s">
        <v>2444</v>
      </c>
      <c r="E1343" t="s">
        <v>3107</v>
      </c>
      <c r="F1343" t="str">
        <f>HYPERLINK("https://vsd.vn/vi/ad/75882","Link")</f>
        <v>Link</v>
      </c>
    </row>
    <row r="1344" spans="1:6" x14ac:dyDescent="0.25">
      <c r="A1344" s="2">
        <v>44132.366111111107</v>
      </c>
      <c r="B1344" t="s">
        <v>1333</v>
      </c>
      <c r="C1344" t="s">
        <v>2150</v>
      </c>
      <c r="D1344" t="s">
        <v>2437</v>
      </c>
      <c r="E1344" t="s">
        <v>3066</v>
      </c>
      <c r="F1344" t="str">
        <f>HYPERLINK("https://vsd.vn/vi/ad/75875","Link")</f>
        <v>Link</v>
      </c>
    </row>
    <row r="1345" spans="1:6" x14ac:dyDescent="0.25">
      <c r="A1345" s="2">
        <v>44131.695567129631</v>
      </c>
      <c r="B1345" t="s">
        <v>1334</v>
      </c>
      <c r="C1345" t="s">
        <v>2151</v>
      </c>
      <c r="D1345" t="s">
        <v>2442</v>
      </c>
      <c r="F1345" t="str">
        <f>HYPERLINK("https://vsd.vn/vi/ad/75873","Link")</f>
        <v>Link</v>
      </c>
    </row>
    <row r="1346" spans="1:6" x14ac:dyDescent="0.25">
      <c r="A1346" s="2">
        <v>44131.678067129629</v>
      </c>
      <c r="B1346" t="s">
        <v>1335</v>
      </c>
      <c r="C1346" t="s">
        <v>2062</v>
      </c>
      <c r="D1346" t="s">
        <v>2439</v>
      </c>
      <c r="E1346" t="s">
        <v>3110</v>
      </c>
      <c r="F1346" t="str">
        <f>HYPERLINK("https://vsd.vn/vi/ad/75871","Link")</f>
        <v>Link</v>
      </c>
    </row>
    <row r="1347" spans="1:6" x14ac:dyDescent="0.25">
      <c r="A1347" s="2">
        <v>44131.659050925933</v>
      </c>
      <c r="B1347" t="s">
        <v>1336</v>
      </c>
      <c r="C1347" t="s">
        <v>2152</v>
      </c>
      <c r="D1347" t="s">
        <v>2446</v>
      </c>
      <c r="E1347" t="s">
        <v>3111</v>
      </c>
      <c r="F1347" t="str">
        <f>HYPERLINK("https://vsd.vn/vi/ad/75870","Link")</f>
        <v>Link</v>
      </c>
    </row>
    <row r="1348" spans="1:6" x14ac:dyDescent="0.25">
      <c r="A1348" s="2">
        <v>44131.461597222216</v>
      </c>
      <c r="B1348" t="s">
        <v>1337</v>
      </c>
      <c r="C1348" t="s">
        <v>2153</v>
      </c>
      <c r="D1348" t="s">
        <v>2427</v>
      </c>
      <c r="F1348" t="str">
        <f>HYPERLINK("https://vsd.vn/vi/ad/75859","Link")</f>
        <v>Link</v>
      </c>
    </row>
    <row r="1349" spans="1:6" x14ac:dyDescent="0.25">
      <c r="A1349" s="2">
        <v>44131.424259259264</v>
      </c>
      <c r="B1349" t="s">
        <v>1338</v>
      </c>
      <c r="C1349" t="s">
        <v>2154</v>
      </c>
      <c r="D1349" t="s">
        <v>2443</v>
      </c>
      <c r="F1349" t="str">
        <f>HYPERLINK("https://vsd.vn/vi/ad/75857","Link")</f>
        <v>Link</v>
      </c>
    </row>
    <row r="1350" spans="1:6" x14ac:dyDescent="0.25">
      <c r="A1350" s="2">
        <v>44131.370335648149</v>
      </c>
      <c r="B1350" t="s">
        <v>1339</v>
      </c>
      <c r="D1350" t="s">
        <v>2446</v>
      </c>
      <c r="F1350" t="str">
        <f>HYPERLINK("https://vsd.vn/vi/ad/75856","Link")</f>
        <v>Link</v>
      </c>
    </row>
    <row r="1351" spans="1:6" x14ac:dyDescent="0.25">
      <c r="A1351" s="2">
        <v>44130.644016203703</v>
      </c>
      <c r="B1351" t="s">
        <v>1340</v>
      </c>
      <c r="C1351" t="s">
        <v>2155</v>
      </c>
      <c r="D1351" t="s">
        <v>2444</v>
      </c>
      <c r="E1351" t="s">
        <v>3112</v>
      </c>
      <c r="F1351" t="str">
        <f>HYPERLINK("https://vsd.vn/vi/ad/75828","Link")</f>
        <v>Link</v>
      </c>
    </row>
    <row r="1352" spans="1:6" x14ac:dyDescent="0.25">
      <c r="A1352" s="2">
        <v>44130.64329861111</v>
      </c>
      <c r="B1352" t="s">
        <v>1341</v>
      </c>
      <c r="C1352" t="s">
        <v>2156</v>
      </c>
      <c r="D1352" t="s">
        <v>2442</v>
      </c>
      <c r="F1352" t="str">
        <f>HYPERLINK("https://vsd.vn/vi/ad/75827","Link")</f>
        <v>Link</v>
      </c>
    </row>
    <row r="1353" spans="1:6" x14ac:dyDescent="0.25">
      <c r="A1353" s="2">
        <v>44127.708240740743</v>
      </c>
      <c r="B1353" t="s">
        <v>1342</v>
      </c>
      <c r="F1353" t="str">
        <f>HYPERLINK("https://vsd.vn/vi/ad/75804","Link")</f>
        <v>Link</v>
      </c>
    </row>
    <row r="1354" spans="1:6" x14ac:dyDescent="0.25">
      <c r="A1354" s="2">
        <v>44127.707905092589</v>
      </c>
      <c r="B1354" t="s">
        <v>1343</v>
      </c>
      <c r="F1354" t="str">
        <f>HYPERLINK("https://vsd.vn/vi/ad/75806","Link")</f>
        <v>Link</v>
      </c>
    </row>
    <row r="1355" spans="1:6" x14ac:dyDescent="0.25">
      <c r="A1355" s="2">
        <v>44127.641400462962</v>
      </c>
      <c r="B1355" t="s">
        <v>1344</v>
      </c>
      <c r="C1355" t="s">
        <v>1477</v>
      </c>
      <c r="D1355" t="s">
        <v>2445</v>
      </c>
      <c r="E1355" t="s">
        <v>3109</v>
      </c>
      <c r="F1355" t="str">
        <f>HYPERLINK("https://vsd.vn/vi/ad/75791","Link")</f>
        <v>Link</v>
      </c>
    </row>
    <row r="1356" spans="1:6" x14ac:dyDescent="0.25">
      <c r="A1356" s="2">
        <v>44127.612534722219</v>
      </c>
      <c r="B1356" t="s">
        <v>1345</v>
      </c>
      <c r="C1356" t="s">
        <v>2157</v>
      </c>
      <c r="D1356" t="s">
        <v>2435</v>
      </c>
      <c r="E1356" t="s">
        <v>3113</v>
      </c>
      <c r="F1356" t="str">
        <f>HYPERLINK("https://vsd.vn/vi/ad/75789","Link")</f>
        <v>Link</v>
      </c>
    </row>
    <row r="1357" spans="1:6" x14ac:dyDescent="0.25">
      <c r="A1357" s="2">
        <v>44127.607905092591</v>
      </c>
      <c r="B1357" t="s">
        <v>1346</v>
      </c>
      <c r="D1357" t="s">
        <v>2447</v>
      </c>
      <c r="F1357" t="str">
        <f>HYPERLINK("https://vsd.vn/vi/ad/75787","Link")</f>
        <v>Link</v>
      </c>
    </row>
    <row r="1358" spans="1:6" x14ac:dyDescent="0.25">
      <c r="A1358" s="2">
        <v>44127.450590277767</v>
      </c>
      <c r="B1358" t="s">
        <v>1347</v>
      </c>
      <c r="C1358" t="s">
        <v>2158</v>
      </c>
      <c r="D1358" t="s">
        <v>2447</v>
      </c>
      <c r="F1358" t="str">
        <f>HYPERLINK("https://vsd.vn/vi/ad/75780","Link")</f>
        <v>Link</v>
      </c>
    </row>
    <row r="1359" spans="1:6" x14ac:dyDescent="0.25">
      <c r="A1359" s="2">
        <v>44127.448368055557</v>
      </c>
      <c r="B1359" t="s">
        <v>1348</v>
      </c>
      <c r="C1359" t="s">
        <v>2159</v>
      </c>
      <c r="D1359" t="s">
        <v>2427</v>
      </c>
      <c r="E1359" t="s">
        <v>3091</v>
      </c>
      <c r="F1359" t="str">
        <f>HYPERLINK("https://vsd.vn/vi/ad/75758","Link")</f>
        <v>Link</v>
      </c>
    </row>
    <row r="1360" spans="1:6" x14ac:dyDescent="0.25">
      <c r="A1360" s="2">
        <v>44126.720231481479</v>
      </c>
      <c r="B1360" t="s">
        <v>1349</v>
      </c>
      <c r="C1360" t="s">
        <v>1467</v>
      </c>
      <c r="D1360" t="s">
        <v>2442</v>
      </c>
      <c r="E1360" t="s">
        <v>3114</v>
      </c>
      <c r="F1360" t="str">
        <f>HYPERLINK("https://vsd.vn/vi/ad/75778","Link")</f>
        <v>Link</v>
      </c>
    </row>
    <row r="1361" spans="1:6" x14ac:dyDescent="0.25">
      <c r="A1361" s="2">
        <v>44126.711273148147</v>
      </c>
      <c r="B1361" t="s">
        <v>1350</v>
      </c>
      <c r="C1361" t="s">
        <v>2160</v>
      </c>
      <c r="D1361" t="s">
        <v>2448</v>
      </c>
      <c r="F1361" t="str">
        <f>HYPERLINK("https://vsd.vn/vi/ad/75776","Link")</f>
        <v>Link</v>
      </c>
    </row>
    <row r="1362" spans="1:6" x14ac:dyDescent="0.25">
      <c r="A1362" s="2">
        <v>44126.443182870367</v>
      </c>
      <c r="B1362" t="s">
        <v>1351</v>
      </c>
      <c r="C1362" t="s">
        <v>2161</v>
      </c>
      <c r="D1362" t="s">
        <v>2448</v>
      </c>
      <c r="E1362" t="s">
        <v>3115</v>
      </c>
      <c r="F1362" t="str">
        <f>HYPERLINK("https://vsd.vn/vi/ad/75725","Link")</f>
        <v>Link</v>
      </c>
    </row>
    <row r="1363" spans="1:6" x14ac:dyDescent="0.25">
      <c r="A1363" s="2">
        <v>44126.412245370368</v>
      </c>
      <c r="B1363" t="s">
        <v>1352</v>
      </c>
      <c r="C1363" t="s">
        <v>1653</v>
      </c>
      <c r="D1363" t="s">
        <v>2444</v>
      </c>
      <c r="E1363" t="s">
        <v>3116</v>
      </c>
      <c r="F1363" t="str">
        <f>HYPERLINK("https://vsd.vn/vi/ad/75750","Link")</f>
        <v>Link</v>
      </c>
    </row>
    <row r="1364" spans="1:6" x14ac:dyDescent="0.25">
      <c r="A1364" s="2">
        <v>44125.764791666668</v>
      </c>
      <c r="B1364" t="s">
        <v>138</v>
      </c>
      <c r="C1364" t="s">
        <v>1616</v>
      </c>
      <c r="D1364" t="s">
        <v>2448</v>
      </c>
      <c r="F1364" t="str">
        <f>HYPERLINK("https://vsd.vn/vi/ad/75720","Link")</f>
        <v>Link</v>
      </c>
    </row>
    <row r="1365" spans="1:6" x14ac:dyDescent="0.25">
      <c r="A1365" s="2">
        <v>44125.644421296303</v>
      </c>
      <c r="B1365" t="s">
        <v>1353</v>
      </c>
      <c r="C1365" t="s">
        <v>2162</v>
      </c>
      <c r="D1365" t="s">
        <v>2441</v>
      </c>
      <c r="E1365" t="s">
        <v>3109</v>
      </c>
      <c r="F1365" t="str">
        <f>HYPERLINK("https://vsd.vn/vi/ad/75721","Link")</f>
        <v>Link</v>
      </c>
    </row>
    <row r="1366" spans="1:6" x14ac:dyDescent="0.25">
      <c r="A1366" s="2">
        <v>44125.472708333327</v>
      </c>
      <c r="B1366" t="s">
        <v>1354</v>
      </c>
      <c r="C1366" t="s">
        <v>2163</v>
      </c>
      <c r="D1366" t="s">
        <v>2447</v>
      </c>
      <c r="E1366" t="s">
        <v>3117</v>
      </c>
      <c r="F1366" t="str">
        <f>HYPERLINK("https://vsd.vn/vi/ad/75704","Link")</f>
        <v>Link</v>
      </c>
    </row>
    <row r="1367" spans="1:6" x14ac:dyDescent="0.25">
      <c r="A1367" s="2">
        <v>44125.472581018519</v>
      </c>
      <c r="B1367" t="s">
        <v>1355</v>
      </c>
      <c r="C1367" t="s">
        <v>2164</v>
      </c>
      <c r="D1367" t="s">
        <v>2449</v>
      </c>
      <c r="E1367" t="s">
        <v>3118</v>
      </c>
      <c r="F1367" t="str">
        <f>HYPERLINK("https://vsd.vn/vi/ad/75703","Link")</f>
        <v>Link</v>
      </c>
    </row>
    <row r="1368" spans="1:6" x14ac:dyDescent="0.25">
      <c r="A1368" s="2">
        <v>44124.643136574072</v>
      </c>
      <c r="B1368" t="s">
        <v>1356</v>
      </c>
      <c r="C1368" t="s">
        <v>2165</v>
      </c>
      <c r="D1368" t="s">
        <v>2450</v>
      </c>
      <c r="F1368" t="str">
        <f>HYPERLINK("https://vsd.vn/vi/ad/75685","Link")</f>
        <v>Link</v>
      </c>
    </row>
    <row r="1369" spans="1:6" x14ac:dyDescent="0.25">
      <c r="A1369" s="2">
        <v>44124.625879629632</v>
      </c>
      <c r="B1369" t="s">
        <v>1357</v>
      </c>
      <c r="C1369" t="s">
        <v>2166</v>
      </c>
      <c r="D1369" t="s">
        <v>2445</v>
      </c>
      <c r="E1369" t="s">
        <v>3055</v>
      </c>
      <c r="F1369" t="str">
        <f>HYPERLINK("https://vsd.vn/vi/ad/75672","Link")</f>
        <v>Link</v>
      </c>
    </row>
    <row r="1370" spans="1:6" x14ac:dyDescent="0.25">
      <c r="A1370" s="2">
        <v>44124.625509259262</v>
      </c>
      <c r="B1370" t="s">
        <v>1358</v>
      </c>
      <c r="C1370" t="s">
        <v>2013</v>
      </c>
      <c r="D1370" t="s">
        <v>2451</v>
      </c>
      <c r="E1370" t="s">
        <v>3119</v>
      </c>
      <c r="F1370" t="str">
        <f>HYPERLINK("https://vsd.vn/vi/ad/75677","Link")</f>
        <v>Link</v>
      </c>
    </row>
    <row r="1371" spans="1:6" x14ac:dyDescent="0.25">
      <c r="A1371" s="2">
        <v>44124.625208333331</v>
      </c>
      <c r="B1371" t="s">
        <v>1359</v>
      </c>
      <c r="D1371" t="s">
        <v>2448</v>
      </c>
      <c r="F1371" t="str">
        <f>HYPERLINK("https://vsd.vn/vi/ad/75679","Link")</f>
        <v>Link</v>
      </c>
    </row>
    <row r="1372" spans="1:6" x14ac:dyDescent="0.25">
      <c r="A1372" s="2">
        <v>44124.624201388891</v>
      </c>
      <c r="B1372" t="s">
        <v>1360</v>
      </c>
      <c r="C1372" t="s">
        <v>1996</v>
      </c>
      <c r="D1372" t="s">
        <v>2427</v>
      </c>
      <c r="F1372" t="str">
        <f>HYPERLINK("https://vsd.vn/vi/ad/75682","Link")</f>
        <v>Link</v>
      </c>
    </row>
    <row r="1373" spans="1:6" x14ac:dyDescent="0.25">
      <c r="A1373" s="2">
        <v>44124.613958333342</v>
      </c>
      <c r="B1373" t="s">
        <v>1361</v>
      </c>
      <c r="D1373" t="s">
        <v>2427</v>
      </c>
      <c r="F1373" t="str">
        <f>HYPERLINK("https://vsd.vn/vi/ad/75683","Link")</f>
        <v>Link</v>
      </c>
    </row>
    <row r="1374" spans="1:6" x14ac:dyDescent="0.25">
      <c r="A1374" s="2">
        <v>44123.652777777781</v>
      </c>
      <c r="B1374" t="s">
        <v>1362</v>
      </c>
      <c r="C1374" t="s">
        <v>2167</v>
      </c>
      <c r="D1374" t="s">
        <v>2450</v>
      </c>
      <c r="E1374" t="s">
        <v>3120</v>
      </c>
      <c r="F1374" t="str">
        <f>HYPERLINK("https://vsd.vn/vi/ad/75670","Link")</f>
        <v>Link</v>
      </c>
    </row>
    <row r="1375" spans="1:6" x14ac:dyDescent="0.25">
      <c r="A1375" s="2">
        <v>44123.575185185182</v>
      </c>
      <c r="B1375" t="s">
        <v>1363</v>
      </c>
      <c r="C1375" t="s">
        <v>2168</v>
      </c>
      <c r="D1375" t="s">
        <v>2449</v>
      </c>
      <c r="F1375" t="str">
        <f>HYPERLINK("https://vsd.vn/vi/ad/75668","Link")</f>
        <v>Link</v>
      </c>
    </row>
    <row r="1376" spans="1:6" x14ac:dyDescent="0.25">
      <c r="A1376" s="2">
        <v>44120.705046296287</v>
      </c>
      <c r="B1376" t="s">
        <v>1364</v>
      </c>
      <c r="C1376" t="s">
        <v>2169</v>
      </c>
      <c r="D1376" t="s">
        <v>2451</v>
      </c>
      <c r="F1376" t="str">
        <f>HYPERLINK("https://vsd.vn/vi/ad/75655","Link")</f>
        <v>Link</v>
      </c>
    </row>
    <row r="1377" spans="1:6" x14ac:dyDescent="0.25">
      <c r="A1377" s="2">
        <v>44120.704699074071</v>
      </c>
      <c r="B1377" t="s">
        <v>1365</v>
      </c>
      <c r="C1377" t="s">
        <v>2170</v>
      </c>
      <c r="D1377" t="s">
        <v>2448</v>
      </c>
      <c r="E1377" t="s">
        <v>3121</v>
      </c>
      <c r="F1377" t="str">
        <f>HYPERLINK("https://vsd.vn/vi/ad/75656","Link")</f>
        <v>Link</v>
      </c>
    </row>
    <row r="1378" spans="1:6" x14ac:dyDescent="0.25">
      <c r="A1378" s="2">
        <v>44120.624548611107</v>
      </c>
      <c r="B1378" t="s">
        <v>1366</v>
      </c>
      <c r="E1378" t="s">
        <v>3122</v>
      </c>
      <c r="F1378" t="str">
        <f>HYPERLINK("https://vsd.vn/vi/ad/75644","Link")</f>
        <v>Link</v>
      </c>
    </row>
    <row r="1379" spans="1:6" x14ac:dyDescent="0.25">
      <c r="A1379" s="2">
        <v>44120.601377314822</v>
      </c>
      <c r="B1379" t="s">
        <v>1367</v>
      </c>
      <c r="C1379" t="s">
        <v>2171</v>
      </c>
      <c r="D1379" t="s">
        <v>2452</v>
      </c>
      <c r="F1379" t="str">
        <f>HYPERLINK("https://vsd.vn/vi/ad/75643","Link")</f>
        <v>Link</v>
      </c>
    </row>
    <row r="1380" spans="1:6" x14ac:dyDescent="0.25">
      <c r="A1380" s="2">
        <v>44120.600590277783</v>
      </c>
      <c r="B1380" t="s">
        <v>1368</v>
      </c>
      <c r="C1380" t="s">
        <v>2172</v>
      </c>
      <c r="D1380" t="s">
        <v>2450</v>
      </c>
      <c r="E1380" t="s">
        <v>3123</v>
      </c>
      <c r="F1380" t="str">
        <f>HYPERLINK("https://vsd.vn/vi/ad/75646","Link")</f>
        <v>Link</v>
      </c>
    </row>
    <row r="1381" spans="1:6" x14ac:dyDescent="0.25">
      <c r="A1381" s="2">
        <v>44120.586111111108</v>
      </c>
      <c r="B1381" t="s">
        <v>1369</v>
      </c>
      <c r="C1381" t="s">
        <v>2173</v>
      </c>
      <c r="D1381" t="s">
        <v>2449</v>
      </c>
      <c r="E1381" t="s">
        <v>3085</v>
      </c>
      <c r="F1381" t="str">
        <f>HYPERLINK("https://vsd.vn/vi/ad/75681","Link")</f>
        <v>Link</v>
      </c>
    </row>
    <row r="1382" spans="1:6" x14ac:dyDescent="0.25">
      <c r="A1382" s="2">
        <v>44120.572314814817</v>
      </c>
      <c r="B1382" t="s">
        <v>1370</v>
      </c>
      <c r="C1382" t="s">
        <v>1542</v>
      </c>
      <c r="D1382" t="s">
        <v>2448</v>
      </c>
      <c r="E1382" t="s">
        <v>3119</v>
      </c>
      <c r="F1382" t="str">
        <f>HYPERLINK("https://vsd.vn/vi/ad/75639","Link")</f>
        <v>Link</v>
      </c>
    </row>
    <row r="1383" spans="1:6" x14ac:dyDescent="0.25">
      <c r="A1383" s="2">
        <v>44120.520127314812</v>
      </c>
      <c r="B1383" t="s">
        <v>1371</v>
      </c>
      <c r="C1383" t="s">
        <v>1692</v>
      </c>
      <c r="D1383" t="s">
        <v>2448</v>
      </c>
      <c r="E1383" t="s">
        <v>3074</v>
      </c>
      <c r="F1383" t="str">
        <f>HYPERLINK("https://vsd.vn/vi/ad/75636","Link")</f>
        <v>Link</v>
      </c>
    </row>
    <row r="1384" spans="1:6" x14ac:dyDescent="0.25">
      <c r="A1384" s="2">
        <v>44120.519247685188</v>
      </c>
      <c r="B1384" t="s">
        <v>1372</v>
      </c>
      <c r="C1384" t="s">
        <v>2174</v>
      </c>
      <c r="D1384" t="s">
        <v>2450</v>
      </c>
      <c r="E1384" t="s">
        <v>3118</v>
      </c>
      <c r="F1384" t="str">
        <f>HYPERLINK("https://vsd.vn/vi/ad/75635","Link")</f>
        <v>Link</v>
      </c>
    </row>
    <row r="1385" spans="1:6" x14ac:dyDescent="0.25">
      <c r="A1385" s="2">
        <v>44120.441192129627</v>
      </c>
      <c r="B1385" t="s">
        <v>1373</v>
      </c>
      <c r="C1385" t="s">
        <v>1477</v>
      </c>
      <c r="D1385" t="s">
        <v>2450</v>
      </c>
      <c r="E1385" t="s">
        <v>3124</v>
      </c>
      <c r="F1385" t="str">
        <f>HYPERLINK("https://vsd.vn/vi/ad/75632","Link")</f>
        <v>Link</v>
      </c>
    </row>
    <row r="1386" spans="1:6" x14ac:dyDescent="0.25">
      <c r="A1386" s="2">
        <v>44120.436863425923</v>
      </c>
      <c r="B1386" t="s">
        <v>1374</v>
      </c>
      <c r="C1386" t="s">
        <v>2175</v>
      </c>
      <c r="D1386" t="s">
        <v>2443</v>
      </c>
      <c r="E1386" t="s">
        <v>3125</v>
      </c>
      <c r="F1386" t="str">
        <f>HYPERLINK("https://vsd.vn/vi/ad/75612","Link")</f>
        <v>Link</v>
      </c>
    </row>
    <row r="1387" spans="1:6" x14ac:dyDescent="0.25">
      <c r="A1387" s="2">
        <v>44119.707013888888</v>
      </c>
      <c r="B1387" t="s">
        <v>1375</v>
      </c>
      <c r="F1387" t="str">
        <f>HYPERLINK("https://vsd.vn/vi/ad/75615","Link")</f>
        <v>Link</v>
      </c>
    </row>
    <row r="1388" spans="1:6" x14ac:dyDescent="0.25">
      <c r="A1388" s="2">
        <v>44119.459374999999</v>
      </c>
      <c r="B1388" t="s">
        <v>1376</v>
      </c>
      <c r="F1388" t="str">
        <f>HYPERLINK("https://vsd.vn/vi/ad/75604","Link")</f>
        <v>Link</v>
      </c>
    </row>
    <row r="1389" spans="1:6" x14ac:dyDescent="0.25">
      <c r="A1389" s="2">
        <v>44119.458865740737</v>
      </c>
      <c r="B1389" t="s">
        <v>1377</v>
      </c>
      <c r="C1389" t="s">
        <v>2176</v>
      </c>
      <c r="D1389" t="s">
        <v>2447</v>
      </c>
      <c r="E1389" t="s">
        <v>3126</v>
      </c>
      <c r="F1389" t="str">
        <f>HYPERLINK("https://vsd.vn/vi/ad/75598","Link")</f>
        <v>Link</v>
      </c>
    </row>
    <row r="1390" spans="1:6" x14ac:dyDescent="0.25">
      <c r="A1390" s="2">
        <v>44119.45821759259</v>
      </c>
      <c r="B1390" t="s">
        <v>1378</v>
      </c>
      <c r="C1390" t="s">
        <v>1468</v>
      </c>
      <c r="D1390" t="s">
        <v>2451</v>
      </c>
      <c r="E1390" t="s">
        <v>3127</v>
      </c>
      <c r="F1390" t="str">
        <f>HYPERLINK("https://vsd.vn/vi/ad/75605","Link")</f>
        <v>Link</v>
      </c>
    </row>
    <row r="1391" spans="1:6" x14ac:dyDescent="0.25">
      <c r="A1391" s="2">
        <v>44119.449780092589</v>
      </c>
      <c r="B1391" t="s">
        <v>1379</v>
      </c>
      <c r="C1391" t="s">
        <v>1692</v>
      </c>
      <c r="D1391" t="s">
        <v>2453</v>
      </c>
      <c r="E1391" t="s">
        <v>3128</v>
      </c>
      <c r="F1391" t="str">
        <f>HYPERLINK("https://vsd.vn/vi/ad/75603","Link")</f>
        <v>Link</v>
      </c>
    </row>
    <row r="1392" spans="1:6" x14ac:dyDescent="0.25">
      <c r="A1392" s="2">
        <v>44119.449513888889</v>
      </c>
      <c r="B1392" t="s">
        <v>1380</v>
      </c>
      <c r="C1392" t="s">
        <v>1517</v>
      </c>
      <c r="D1392" t="s">
        <v>2451</v>
      </c>
      <c r="E1392" t="s">
        <v>3129</v>
      </c>
      <c r="F1392" t="str">
        <f>HYPERLINK("https://vsd.vn/vi/ad/75540","Link")</f>
        <v>Link</v>
      </c>
    </row>
    <row r="1393" spans="1:6" x14ac:dyDescent="0.25">
      <c r="A1393" s="2">
        <v>44119.349282407413</v>
      </c>
      <c r="B1393" t="s">
        <v>1381</v>
      </c>
      <c r="C1393" t="s">
        <v>2177</v>
      </c>
      <c r="D1393" t="s">
        <v>2441</v>
      </c>
      <c r="F1393" t="str">
        <f>HYPERLINK("https://vsd.vn/vi/ad/75601","Link")</f>
        <v>Link</v>
      </c>
    </row>
    <row r="1394" spans="1:6" x14ac:dyDescent="0.25">
      <c r="A1394" s="2">
        <v>44118.702546296299</v>
      </c>
      <c r="B1394" t="s">
        <v>1382</v>
      </c>
      <c r="F1394" t="str">
        <f>HYPERLINK("https://vsd.vn/vi/ad/75514","Link")</f>
        <v>Link</v>
      </c>
    </row>
    <row r="1395" spans="1:6" x14ac:dyDescent="0.25">
      <c r="A1395" s="2">
        <v>44118.702465277784</v>
      </c>
      <c r="B1395" t="s">
        <v>1383</v>
      </c>
      <c r="F1395" t="str">
        <f>HYPERLINK("https://vsd.vn/vi/ad/75515","Link")</f>
        <v>Link</v>
      </c>
    </row>
    <row r="1396" spans="1:6" x14ac:dyDescent="0.25">
      <c r="A1396" s="2">
        <v>44118.440937500003</v>
      </c>
      <c r="B1396" t="s">
        <v>1384</v>
      </c>
      <c r="C1396" t="s">
        <v>1468</v>
      </c>
      <c r="D1396" t="s">
        <v>2451</v>
      </c>
      <c r="E1396" t="s">
        <v>3130</v>
      </c>
      <c r="F1396" t="str">
        <f>HYPERLINK("https://vsd.vn/vi/ad/75516","Link")</f>
        <v>Link</v>
      </c>
    </row>
    <row r="1397" spans="1:6" x14ac:dyDescent="0.25">
      <c r="A1397" s="2">
        <v>44117.500740740739</v>
      </c>
      <c r="B1397" t="s">
        <v>1385</v>
      </c>
      <c r="C1397" t="s">
        <v>2178</v>
      </c>
      <c r="D1397" t="s">
        <v>2454</v>
      </c>
      <c r="E1397" t="s">
        <v>3131</v>
      </c>
      <c r="F1397" t="str">
        <f>HYPERLINK("https://vsd.vn/vi/ad/75483","Link")</f>
        <v>Link</v>
      </c>
    </row>
    <row r="1398" spans="1:6" x14ac:dyDescent="0.25">
      <c r="A1398" s="2">
        <v>44117.421342592592</v>
      </c>
      <c r="B1398" t="s">
        <v>1386</v>
      </c>
      <c r="C1398" t="s">
        <v>1716</v>
      </c>
      <c r="D1398" t="s">
        <v>2452</v>
      </c>
      <c r="E1398" t="s">
        <v>3132</v>
      </c>
      <c r="F1398" t="str">
        <f>HYPERLINK("https://vsd.vn/vi/ad/75478","Link")</f>
        <v>Link</v>
      </c>
    </row>
    <row r="1399" spans="1:6" x14ac:dyDescent="0.25">
      <c r="A1399" s="2">
        <v>44117.420960648153</v>
      </c>
      <c r="B1399" t="s">
        <v>1387</v>
      </c>
      <c r="C1399" t="s">
        <v>2179</v>
      </c>
      <c r="D1399" t="s">
        <v>2451</v>
      </c>
      <c r="E1399" t="s">
        <v>3133</v>
      </c>
      <c r="F1399" t="str">
        <f>HYPERLINK("https://vsd.vn/vi/ad/75476","Link")</f>
        <v>Link</v>
      </c>
    </row>
    <row r="1400" spans="1:6" x14ac:dyDescent="0.25">
      <c r="A1400" s="2">
        <v>44117.420694444438</v>
      </c>
      <c r="B1400" t="s">
        <v>1388</v>
      </c>
      <c r="C1400" t="s">
        <v>2180</v>
      </c>
      <c r="D1400" t="s">
        <v>2450</v>
      </c>
      <c r="E1400" t="s">
        <v>3134</v>
      </c>
      <c r="F1400" t="str">
        <f>HYPERLINK("https://vsd.vn/vi/ad/75477","Link")</f>
        <v>Link</v>
      </c>
    </row>
    <row r="1401" spans="1:6" x14ac:dyDescent="0.25">
      <c r="A1401" s="2">
        <v>44116.705370370371</v>
      </c>
      <c r="B1401" t="s">
        <v>1389</v>
      </c>
      <c r="C1401" t="s">
        <v>2181</v>
      </c>
      <c r="D1401" t="s">
        <v>2448</v>
      </c>
      <c r="E1401" t="s">
        <v>3112</v>
      </c>
      <c r="F1401" t="str">
        <f>HYPERLINK("https://vsd.vn/vi/ad/75448","Link")</f>
        <v>Link</v>
      </c>
    </row>
    <row r="1402" spans="1:6" x14ac:dyDescent="0.25">
      <c r="A1402" s="2">
        <v>44116.705243055563</v>
      </c>
      <c r="B1402" t="s">
        <v>1390</v>
      </c>
      <c r="C1402" t="s">
        <v>2182</v>
      </c>
      <c r="D1402" t="s">
        <v>2454</v>
      </c>
      <c r="E1402" t="s">
        <v>3135</v>
      </c>
      <c r="F1402" t="str">
        <f>HYPERLINK("https://vsd.vn/vi/ad/75447","Link")</f>
        <v>Link</v>
      </c>
    </row>
    <row r="1403" spans="1:6" x14ac:dyDescent="0.25">
      <c r="A1403" s="2">
        <v>44116.700092592589</v>
      </c>
      <c r="B1403" t="s">
        <v>1391</v>
      </c>
      <c r="F1403" t="str">
        <f>HYPERLINK("https://vsd.vn/vi/ad/75466","Link")</f>
        <v>Link</v>
      </c>
    </row>
    <row r="1404" spans="1:6" x14ac:dyDescent="0.25">
      <c r="A1404" s="2">
        <v>44116.699895833342</v>
      </c>
      <c r="B1404" t="s">
        <v>1392</v>
      </c>
      <c r="F1404" t="str">
        <f>HYPERLINK("https://vsd.vn/vi/ad/75467","Link")</f>
        <v>Link</v>
      </c>
    </row>
    <row r="1405" spans="1:6" x14ac:dyDescent="0.25">
      <c r="A1405" s="2">
        <v>44116.699641203697</v>
      </c>
      <c r="B1405" t="s">
        <v>1393</v>
      </c>
      <c r="F1405" t="str">
        <f>HYPERLINK("https://vsd.vn/vi/ad/75468","Link")</f>
        <v>Link</v>
      </c>
    </row>
    <row r="1406" spans="1:6" x14ac:dyDescent="0.25">
      <c r="A1406" s="2">
        <v>44116.688391203701</v>
      </c>
      <c r="B1406" t="s">
        <v>1394</v>
      </c>
      <c r="C1406" t="s">
        <v>2183</v>
      </c>
      <c r="D1406" t="s">
        <v>2455</v>
      </c>
      <c r="E1406" t="s">
        <v>3117</v>
      </c>
      <c r="F1406" t="str">
        <f>HYPERLINK("https://vsd.vn/vi/ad/75469","Link")</f>
        <v>Link</v>
      </c>
    </row>
    <row r="1407" spans="1:6" x14ac:dyDescent="0.25">
      <c r="A1407" s="2">
        <v>44116.667326388888</v>
      </c>
      <c r="B1407" t="s">
        <v>1395</v>
      </c>
      <c r="D1407" t="s">
        <v>2456</v>
      </c>
      <c r="F1407" t="str">
        <f>HYPERLINK("https://vsd.vn/vi/ad/75465","Link")</f>
        <v>Link</v>
      </c>
    </row>
    <row r="1408" spans="1:6" x14ac:dyDescent="0.25">
      <c r="A1408" s="2">
        <v>44113.629143518519</v>
      </c>
      <c r="B1408" t="s">
        <v>1396</v>
      </c>
      <c r="C1408" t="s">
        <v>1484</v>
      </c>
      <c r="D1408" t="s">
        <v>2454</v>
      </c>
      <c r="E1408" t="s">
        <v>3136</v>
      </c>
      <c r="F1408" t="str">
        <f>HYPERLINK("https://vsd.vn/vi/ad/75427","Link")</f>
        <v>Link</v>
      </c>
    </row>
    <row r="1409" spans="1:6" x14ac:dyDescent="0.25">
      <c r="A1409" s="2">
        <v>44113.621759259258</v>
      </c>
      <c r="B1409" t="s">
        <v>1397</v>
      </c>
      <c r="C1409" t="s">
        <v>2184</v>
      </c>
      <c r="D1409" t="s">
        <v>2457</v>
      </c>
      <c r="E1409" t="s">
        <v>3137</v>
      </c>
      <c r="F1409" t="str">
        <f>HYPERLINK("https://vsd.vn/vi/ad/75426","Link")</f>
        <v>Link</v>
      </c>
    </row>
    <row r="1410" spans="1:6" x14ac:dyDescent="0.25">
      <c r="A1410" s="2">
        <v>44113.592581018522</v>
      </c>
      <c r="B1410" t="s">
        <v>1398</v>
      </c>
      <c r="C1410" t="s">
        <v>2185</v>
      </c>
      <c r="D1410" t="s">
        <v>2455</v>
      </c>
      <c r="E1410" t="s">
        <v>3119</v>
      </c>
      <c r="F1410" t="str">
        <f>HYPERLINK("https://vsd.vn/vi/ad/75413","Link")</f>
        <v>Link</v>
      </c>
    </row>
    <row r="1411" spans="1:6" x14ac:dyDescent="0.25">
      <c r="A1411" s="2">
        <v>44113.591736111113</v>
      </c>
      <c r="B1411" t="s">
        <v>1399</v>
      </c>
      <c r="C1411" t="s">
        <v>2028</v>
      </c>
      <c r="D1411" t="s">
        <v>2457</v>
      </c>
      <c r="E1411" t="s">
        <v>3138</v>
      </c>
      <c r="F1411" t="str">
        <f>HYPERLINK("https://vsd.vn/vi/ad/75420","Link")</f>
        <v>Link</v>
      </c>
    </row>
    <row r="1412" spans="1:6" x14ac:dyDescent="0.25">
      <c r="A1412" s="2">
        <v>44113.580034722218</v>
      </c>
      <c r="B1412" t="s">
        <v>1400</v>
      </c>
      <c r="C1412" t="s">
        <v>2186</v>
      </c>
      <c r="F1412" t="str">
        <f>HYPERLINK("https://vsd.vn/vi/ad/75429","Link")</f>
        <v>Link</v>
      </c>
    </row>
    <row r="1413" spans="1:6" x14ac:dyDescent="0.25">
      <c r="A1413" s="2">
        <v>44112.721261574072</v>
      </c>
      <c r="B1413" t="s">
        <v>1401</v>
      </c>
      <c r="C1413" t="s">
        <v>2187</v>
      </c>
      <c r="D1413" t="s">
        <v>2455</v>
      </c>
      <c r="E1413" t="s">
        <v>3093</v>
      </c>
      <c r="F1413" t="str">
        <f>HYPERLINK("https://vsd.vn/vi/ad/75421","Link")</f>
        <v>Link</v>
      </c>
    </row>
    <row r="1414" spans="1:6" x14ac:dyDescent="0.25">
      <c r="A1414" s="2">
        <v>44112.719907407409</v>
      </c>
      <c r="B1414" t="s">
        <v>1402</v>
      </c>
      <c r="C1414" t="s">
        <v>2111</v>
      </c>
      <c r="D1414" t="s">
        <v>2454</v>
      </c>
      <c r="E1414" t="s">
        <v>3124</v>
      </c>
      <c r="F1414" t="str">
        <f>HYPERLINK("https://vsd.vn/vi/ad/75419","Link")</f>
        <v>Link</v>
      </c>
    </row>
    <row r="1415" spans="1:6" x14ac:dyDescent="0.25">
      <c r="A1415" s="2">
        <v>44112.718449074076</v>
      </c>
      <c r="B1415" t="s">
        <v>1403</v>
      </c>
      <c r="F1415" t="str">
        <f>HYPERLINK("https://vsd.vn/vi/ad/75416","Link")</f>
        <v>Link</v>
      </c>
    </row>
    <row r="1416" spans="1:6" x14ac:dyDescent="0.25">
      <c r="A1416" s="2">
        <v>44112.71769675926</v>
      </c>
      <c r="B1416" t="s">
        <v>1404</v>
      </c>
      <c r="C1416" t="s">
        <v>2188</v>
      </c>
      <c r="D1416" t="s">
        <v>2457</v>
      </c>
      <c r="F1416" t="str">
        <f>HYPERLINK("https://vsd.vn/vi/ad/75415","Link")</f>
        <v>Link</v>
      </c>
    </row>
    <row r="1417" spans="1:6" x14ac:dyDescent="0.25">
      <c r="A1417" s="2">
        <v>44112.467627314807</v>
      </c>
      <c r="B1417" t="s">
        <v>1405</v>
      </c>
      <c r="C1417" t="s">
        <v>2189</v>
      </c>
      <c r="D1417" t="s">
        <v>2458</v>
      </c>
      <c r="E1417" t="s">
        <v>3138</v>
      </c>
      <c r="F1417" t="str">
        <f>HYPERLINK("https://vsd.vn/vi/ad/75391","Link")</f>
        <v>Link</v>
      </c>
    </row>
    <row r="1418" spans="1:6" x14ac:dyDescent="0.25">
      <c r="A1418" s="2">
        <v>44112.466828703713</v>
      </c>
      <c r="B1418" t="s">
        <v>1406</v>
      </c>
      <c r="C1418" t="s">
        <v>1537</v>
      </c>
      <c r="D1418" t="s">
        <v>2452</v>
      </c>
      <c r="E1418" t="s">
        <v>3139</v>
      </c>
      <c r="F1418" t="str">
        <f>HYPERLINK("https://vsd.vn/vi/ad/75394","Link")</f>
        <v>Link</v>
      </c>
    </row>
    <row r="1419" spans="1:6" x14ac:dyDescent="0.25">
      <c r="A1419" s="2">
        <v>44111.693067129629</v>
      </c>
      <c r="B1419" t="s">
        <v>1407</v>
      </c>
      <c r="F1419" t="str">
        <f>HYPERLINK("https://vsd.vn/vi/ad/75400","Link")</f>
        <v>Link</v>
      </c>
    </row>
    <row r="1420" spans="1:6" x14ac:dyDescent="0.25">
      <c r="A1420" s="2">
        <v>44111.656076388892</v>
      </c>
      <c r="B1420" t="s">
        <v>1408</v>
      </c>
      <c r="C1420" t="s">
        <v>2190</v>
      </c>
      <c r="D1420" t="s">
        <v>2459</v>
      </c>
      <c r="F1420" t="str">
        <f>HYPERLINK("https://vsd.vn/vi/ad/75396","Link")</f>
        <v>Link</v>
      </c>
    </row>
    <row r="1421" spans="1:6" x14ac:dyDescent="0.25">
      <c r="A1421" s="2">
        <v>44111.63957175926</v>
      </c>
      <c r="B1421" t="s">
        <v>1409</v>
      </c>
      <c r="C1421" t="s">
        <v>2191</v>
      </c>
      <c r="D1421" t="s">
        <v>2459</v>
      </c>
      <c r="E1421" t="s">
        <v>3138</v>
      </c>
      <c r="F1421" t="str">
        <f>HYPERLINK("https://vsd.vn/vi/ad/75395","Link")</f>
        <v>Link</v>
      </c>
    </row>
    <row r="1422" spans="1:6" x14ac:dyDescent="0.25">
      <c r="A1422" s="2">
        <v>44111.462060185193</v>
      </c>
      <c r="B1422" t="s">
        <v>1410</v>
      </c>
      <c r="C1422" t="s">
        <v>2192</v>
      </c>
      <c r="D1422" t="s">
        <v>2460</v>
      </c>
      <c r="E1422" t="s">
        <v>3123</v>
      </c>
      <c r="F1422" t="str">
        <f>HYPERLINK("https://vsd.vn/vi/ad/75388","Link")</f>
        <v>Link</v>
      </c>
    </row>
    <row r="1423" spans="1:6" x14ac:dyDescent="0.25">
      <c r="A1423" s="2">
        <v>44110.715740740743</v>
      </c>
      <c r="B1423" t="s">
        <v>1411</v>
      </c>
      <c r="F1423" t="str">
        <f>HYPERLINK("https://vsd.vn/vi/ad/75372","Link")</f>
        <v>Link</v>
      </c>
    </row>
    <row r="1424" spans="1:6" x14ac:dyDescent="0.25">
      <c r="A1424" s="2">
        <v>44110.712245370371</v>
      </c>
      <c r="B1424" t="s">
        <v>1412</v>
      </c>
      <c r="C1424" t="s">
        <v>2193</v>
      </c>
      <c r="D1424" t="s">
        <v>2461</v>
      </c>
      <c r="E1424" t="s">
        <v>3089</v>
      </c>
      <c r="F1424" t="str">
        <f>HYPERLINK("https://vsd.vn/vi/ad/75378","Link")</f>
        <v>Link</v>
      </c>
    </row>
    <row r="1425" spans="1:6" x14ac:dyDescent="0.25">
      <c r="A1425" s="2">
        <v>44110.702615740738</v>
      </c>
      <c r="B1425" t="s">
        <v>1413</v>
      </c>
      <c r="C1425" t="s">
        <v>2194</v>
      </c>
      <c r="D1425" t="s">
        <v>2458</v>
      </c>
      <c r="F1425" t="str">
        <f>HYPERLINK("https://vsd.vn/vi/ad/75379","Link")</f>
        <v>Link</v>
      </c>
    </row>
    <row r="1426" spans="1:6" x14ac:dyDescent="0.25">
      <c r="A1426" s="2">
        <v>44110.680567129632</v>
      </c>
      <c r="B1426" t="s">
        <v>1414</v>
      </c>
      <c r="C1426" t="s">
        <v>2195</v>
      </c>
      <c r="D1426" t="s">
        <v>2453</v>
      </c>
      <c r="E1426" t="s">
        <v>3089</v>
      </c>
      <c r="F1426" t="str">
        <f>HYPERLINK("https://vsd.vn/vi/ad/75373","Link")</f>
        <v>Link</v>
      </c>
    </row>
    <row r="1427" spans="1:6" x14ac:dyDescent="0.25">
      <c r="A1427" s="2">
        <v>44110.598032407397</v>
      </c>
      <c r="B1427" t="s">
        <v>1415</v>
      </c>
      <c r="C1427" t="s">
        <v>2196</v>
      </c>
      <c r="D1427" t="s">
        <v>2461</v>
      </c>
      <c r="E1427" t="s">
        <v>3140</v>
      </c>
      <c r="F1427" t="str">
        <f>HYPERLINK("https://vsd.vn/vi/ad/75367","Link")</f>
        <v>Link</v>
      </c>
    </row>
    <row r="1428" spans="1:6" x14ac:dyDescent="0.25">
      <c r="A1428" s="2">
        <v>44110.536516203712</v>
      </c>
      <c r="B1428" t="s">
        <v>1416</v>
      </c>
      <c r="C1428" t="s">
        <v>2197</v>
      </c>
      <c r="D1428" t="s">
        <v>2453</v>
      </c>
      <c r="E1428" t="s">
        <v>3141</v>
      </c>
      <c r="F1428" t="str">
        <f>HYPERLINK("https://vsd.vn/vi/ad/75352","Link")</f>
        <v>Link</v>
      </c>
    </row>
    <row r="1429" spans="1:6" x14ac:dyDescent="0.25">
      <c r="A1429" s="2">
        <v>44110.434548611112</v>
      </c>
      <c r="B1429" t="s">
        <v>1417</v>
      </c>
      <c r="C1429" t="s">
        <v>2198</v>
      </c>
      <c r="D1429" t="s">
        <v>2457</v>
      </c>
      <c r="E1429" t="s">
        <v>3142</v>
      </c>
      <c r="F1429" t="str">
        <f>HYPERLINK("https://vsd.vn/vi/ad/75335","Link")</f>
        <v>Link</v>
      </c>
    </row>
    <row r="1430" spans="1:6" x14ac:dyDescent="0.25">
      <c r="A1430" s="2">
        <v>44109.739548611113</v>
      </c>
      <c r="B1430" t="s">
        <v>1418</v>
      </c>
      <c r="C1430" t="s">
        <v>2199</v>
      </c>
      <c r="D1430" t="s">
        <v>2461</v>
      </c>
      <c r="E1430" t="s">
        <v>3143</v>
      </c>
      <c r="F1430" t="str">
        <f>HYPERLINK("https://vsd.vn/vi/ad/75343","Link")</f>
        <v>Link</v>
      </c>
    </row>
    <row r="1431" spans="1:6" x14ac:dyDescent="0.25">
      <c r="A1431" s="2">
        <v>44109.684629629628</v>
      </c>
      <c r="B1431" t="s">
        <v>1419</v>
      </c>
      <c r="C1431" t="s">
        <v>1484</v>
      </c>
      <c r="D1431" t="s">
        <v>2453</v>
      </c>
      <c r="F1431" t="str">
        <f>HYPERLINK("https://vsd.vn/vi/ad/75338","Link")</f>
        <v>Link</v>
      </c>
    </row>
    <row r="1432" spans="1:6" x14ac:dyDescent="0.25">
      <c r="A1432" s="2">
        <v>44109.684074074074</v>
      </c>
      <c r="B1432" t="s">
        <v>1420</v>
      </c>
      <c r="C1432" t="s">
        <v>2200</v>
      </c>
      <c r="D1432" t="s">
        <v>2460</v>
      </c>
      <c r="E1432" t="s">
        <v>3144</v>
      </c>
      <c r="F1432" t="str">
        <f>HYPERLINK("https://vsd.vn/vi/ad/75339","Link")</f>
        <v>Link</v>
      </c>
    </row>
    <row r="1433" spans="1:6" x14ac:dyDescent="0.25">
      <c r="A1433" s="2">
        <v>44109.621689814812</v>
      </c>
      <c r="B1433" t="s">
        <v>1421</v>
      </c>
      <c r="F1433" t="str">
        <f>HYPERLINK("https://vsd.vn/vi/ad/75328","Link")</f>
        <v>Link</v>
      </c>
    </row>
    <row r="1434" spans="1:6" x14ac:dyDescent="0.25">
      <c r="A1434" s="2">
        <v>44109.614247685182</v>
      </c>
      <c r="B1434" t="s">
        <v>1422</v>
      </c>
      <c r="C1434" t="s">
        <v>2201</v>
      </c>
      <c r="D1434" t="s">
        <v>2454</v>
      </c>
      <c r="E1434" t="s">
        <v>3145</v>
      </c>
      <c r="F1434" t="str">
        <f>HYPERLINK("https://vsd.vn/vi/ad/75329","Link")</f>
        <v>Link</v>
      </c>
    </row>
    <row r="1435" spans="1:6" x14ac:dyDescent="0.25">
      <c r="A1435" s="2">
        <v>44109.428761574083</v>
      </c>
      <c r="B1435" t="s">
        <v>1423</v>
      </c>
      <c r="C1435" t="s">
        <v>1494</v>
      </c>
      <c r="D1435" t="s">
        <v>2454</v>
      </c>
      <c r="E1435" t="s">
        <v>3133</v>
      </c>
      <c r="F1435" t="str">
        <f>HYPERLINK("https://vsd.vn/vi/ad/75326","Link")</f>
        <v>Link</v>
      </c>
    </row>
    <row r="1436" spans="1:6" x14ac:dyDescent="0.25">
      <c r="A1436" s="2">
        <v>44106.736967592587</v>
      </c>
      <c r="B1436" t="s">
        <v>1424</v>
      </c>
      <c r="C1436" t="s">
        <v>2202</v>
      </c>
      <c r="D1436" t="s">
        <v>2460</v>
      </c>
      <c r="E1436" t="s">
        <v>3146</v>
      </c>
      <c r="F1436" t="str">
        <f>HYPERLINK("https://vsd.vn/vi/ad/75294","Link")</f>
        <v>Link</v>
      </c>
    </row>
    <row r="1437" spans="1:6" x14ac:dyDescent="0.25">
      <c r="A1437" s="2">
        <v>44106.731550925928</v>
      </c>
      <c r="B1437" t="s">
        <v>1425</v>
      </c>
      <c r="F1437" t="str">
        <f>HYPERLINK("https://vsd.vn/vi/ad/75293","Link")</f>
        <v>Link</v>
      </c>
    </row>
    <row r="1438" spans="1:6" x14ac:dyDescent="0.25">
      <c r="A1438" s="2">
        <v>44106.731087962973</v>
      </c>
      <c r="B1438" t="s">
        <v>1426</v>
      </c>
      <c r="D1438" t="s">
        <v>2461</v>
      </c>
      <c r="F1438" t="str">
        <f>HYPERLINK("https://vsd.vn/vi/ad/75313","Link")</f>
        <v>Link</v>
      </c>
    </row>
    <row r="1439" spans="1:6" x14ac:dyDescent="0.25">
      <c r="A1439" s="2">
        <v>44106.633356481478</v>
      </c>
      <c r="B1439" t="s">
        <v>1427</v>
      </c>
      <c r="C1439" t="s">
        <v>2203</v>
      </c>
      <c r="D1439" t="s">
        <v>2458</v>
      </c>
      <c r="F1439" t="str">
        <f>HYPERLINK("https://vsd.vn/vi/ad/75269","Link")</f>
        <v>Link</v>
      </c>
    </row>
    <row r="1440" spans="1:6" x14ac:dyDescent="0.25">
      <c r="A1440" s="2">
        <v>44106.616331018522</v>
      </c>
      <c r="B1440" t="s">
        <v>1428</v>
      </c>
      <c r="C1440" t="s">
        <v>1630</v>
      </c>
      <c r="D1440" t="s">
        <v>2461</v>
      </c>
      <c r="F1440" t="str">
        <f>HYPERLINK("https://vsd.vn/vi/ad/75266","Link")</f>
        <v>Link</v>
      </c>
    </row>
    <row r="1441" spans="1:6" x14ac:dyDescent="0.25">
      <c r="A1441" s="2">
        <v>44106.422048611108</v>
      </c>
      <c r="B1441" t="s">
        <v>1429</v>
      </c>
      <c r="C1441" t="s">
        <v>1689</v>
      </c>
      <c r="D1441" t="s">
        <v>2462</v>
      </c>
      <c r="E1441" t="s">
        <v>3147</v>
      </c>
      <c r="F1441" t="str">
        <f>HYPERLINK("https://vsd.vn/vi/ad/75245","Link")</f>
        <v>Link</v>
      </c>
    </row>
    <row r="1442" spans="1:6" x14ac:dyDescent="0.25">
      <c r="A1442" s="2">
        <v>44105.713946759257</v>
      </c>
      <c r="B1442" t="s">
        <v>1430</v>
      </c>
      <c r="C1442" t="s">
        <v>2204</v>
      </c>
      <c r="D1442" t="s">
        <v>2458</v>
      </c>
      <c r="E1442" t="s">
        <v>3148</v>
      </c>
      <c r="F1442" t="str">
        <f>HYPERLINK("https://vsd.vn/vi/ad/75227","Link")</f>
        <v>Link</v>
      </c>
    </row>
    <row r="1443" spans="1:6" x14ac:dyDescent="0.25">
      <c r="A1443" s="2">
        <v>44105.460717592592</v>
      </c>
      <c r="B1443" t="s">
        <v>1431</v>
      </c>
      <c r="D1443" t="s">
        <v>2459</v>
      </c>
      <c r="F1443" t="str">
        <f>HYPERLINK("https://vsd.vn/vi/ad/75127","Link")</f>
        <v>Link</v>
      </c>
    </row>
    <row r="1444" spans="1:6" x14ac:dyDescent="0.25">
      <c r="A1444" s="2">
        <v>44105.460439814808</v>
      </c>
      <c r="B1444" t="s">
        <v>1432</v>
      </c>
      <c r="D1444" t="s">
        <v>2448</v>
      </c>
      <c r="F1444" t="str">
        <f>HYPERLINK("https://vsd.vn/vi/ad/75126","Link")</f>
        <v>Link</v>
      </c>
    </row>
    <row r="1445" spans="1:6" x14ac:dyDescent="0.25">
      <c r="A1445" s="2">
        <v>44105.444293981483</v>
      </c>
      <c r="B1445" t="s">
        <v>1433</v>
      </c>
      <c r="F1445" t="str">
        <f>HYPERLINK("https://vsd.vn/vi/ad/75125","Link")</f>
        <v>Link</v>
      </c>
    </row>
    <row r="1446" spans="1:6" x14ac:dyDescent="0.25">
      <c r="A1446" s="2">
        <v>44104.645185185182</v>
      </c>
      <c r="B1446" t="s">
        <v>1434</v>
      </c>
      <c r="D1446" t="s">
        <v>2459</v>
      </c>
      <c r="F1446" t="str">
        <f>HYPERLINK("https://vsd.vn/vi/ad/74989","Link")</f>
        <v>Link</v>
      </c>
    </row>
    <row r="1447" spans="1:6" x14ac:dyDescent="0.25">
      <c r="A1447" s="2">
        <v>44104.448738425926</v>
      </c>
      <c r="B1447" t="s">
        <v>1435</v>
      </c>
      <c r="C1447" t="s">
        <v>2205</v>
      </c>
      <c r="D1447" t="s">
        <v>2463</v>
      </c>
      <c r="E1447" t="s">
        <v>3149</v>
      </c>
      <c r="F1447" t="str">
        <f>HYPERLINK("https://vsd.vn/vi/ad/75029","Link")</f>
        <v>Link</v>
      </c>
    </row>
    <row r="1448" spans="1:6" x14ac:dyDescent="0.25">
      <c r="A1448" s="2">
        <v>44104.448287037027</v>
      </c>
      <c r="B1448" t="s">
        <v>1436</v>
      </c>
      <c r="C1448" t="s">
        <v>2206</v>
      </c>
      <c r="D1448" t="s">
        <v>2459</v>
      </c>
      <c r="E1448" t="s">
        <v>3144</v>
      </c>
      <c r="F1448" t="str">
        <f>HYPERLINK("https://vsd.vn/vi/ad/75027","Link")</f>
        <v>Link</v>
      </c>
    </row>
    <row r="1449" spans="1:6" x14ac:dyDescent="0.25">
      <c r="A1449" s="2">
        <v>44104.447905092587</v>
      </c>
      <c r="B1449" t="s">
        <v>1437</v>
      </c>
      <c r="C1449" t="s">
        <v>2207</v>
      </c>
      <c r="D1449" t="s">
        <v>2461</v>
      </c>
      <c r="E1449" t="s">
        <v>3144</v>
      </c>
      <c r="F1449" t="str">
        <f>HYPERLINK("https://vsd.vn/vi/ad/75028","Link")</f>
        <v>Link</v>
      </c>
    </row>
    <row r="1450" spans="1:6" x14ac:dyDescent="0.25">
      <c r="A1450" s="2">
        <v>44103.668055555558</v>
      </c>
      <c r="B1450" t="s">
        <v>1438</v>
      </c>
      <c r="C1450" t="s">
        <v>2208</v>
      </c>
      <c r="D1450" t="s">
        <v>2464</v>
      </c>
      <c r="E1450" t="s">
        <v>3150</v>
      </c>
      <c r="F1450" t="str">
        <f>HYPERLINK("https://vsd.vn/vi/ad/74970","Link")</f>
        <v>Link</v>
      </c>
    </row>
    <row r="1451" spans="1:6" x14ac:dyDescent="0.25">
      <c r="A1451" s="2">
        <v>44103.435231481482</v>
      </c>
      <c r="B1451" t="s">
        <v>1439</v>
      </c>
      <c r="C1451" t="s">
        <v>1780</v>
      </c>
      <c r="D1451" t="s">
        <v>2457</v>
      </c>
      <c r="E1451" t="s">
        <v>3148</v>
      </c>
      <c r="F1451" t="str">
        <f>HYPERLINK("https://vsd.vn/vi/ad/74945","Link")</f>
        <v>Link</v>
      </c>
    </row>
    <row r="1452" spans="1:6" x14ac:dyDescent="0.25">
      <c r="A1452" s="2">
        <v>44102.653194444443</v>
      </c>
      <c r="B1452" t="s">
        <v>356</v>
      </c>
      <c r="E1452" t="s">
        <v>3151</v>
      </c>
      <c r="F1452" t="str">
        <f>HYPERLINK("https://vsd.vn/vi/ad/74908","Link")</f>
        <v>Link</v>
      </c>
    </row>
    <row r="1453" spans="1:6" x14ac:dyDescent="0.25">
      <c r="A1453" s="2">
        <v>44102.625856481478</v>
      </c>
      <c r="B1453" t="s">
        <v>1440</v>
      </c>
      <c r="C1453" t="s">
        <v>1477</v>
      </c>
      <c r="D1453" t="s">
        <v>2461</v>
      </c>
      <c r="E1453" t="s">
        <v>3152</v>
      </c>
      <c r="F1453" t="str">
        <f>HYPERLINK("https://vsd.vn/vi/ad/74887","Link")</f>
        <v>Link</v>
      </c>
    </row>
    <row r="1454" spans="1:6" x14ac:dyDescent="0.25">
      <c r="A1454" s="2">
        <v>44102.607974537037</v>
      </c>
      <c r="B1454" t="s">
        <v>1441</v>
      </c>
      <c r="C1454" t="s">
        <v>1479</v>
      </c>
      <c r="D1454" t="s">
        <v>2463</v>
      </c>
      <c r="E1454" t="s">
        <v>3148</v>
      </c>
      <c r="F1454" t="str">
        <f>HYPERLINK("https://vsd.vn/vi/ad/74886","Link")</f>
        <v>Link</v>
      </c>
    </row>
    <row r="1455" spans="1:6" x14ac:dyDescent="0.25">
      <c r="A1455" s="2">
        <v>44099.714467592603</v>
      </c>
      <c r="B1455" t="s">
        <v>1442</v>
      </c>
      <c r="F1455" t="str">
        <f>HYPERLINK("https://vsd.vn/vi/ad/74848","Link")</f>
        <v>Link</v>
      </c>
    </row>
    <row r="1456" spans="1:6" x14ac:dyDescent="0.25">
      <c r="A1456" s="2">
        <v>44099.711655092593</v>
      </c>
      <c r="B1456" t="s">
        <v>1443</v>
      </c>
      <c r="D1456" t="s">
        <v>2465</v>
      </c>
      <c r="F1456" t="str">
        <f>HYPERLINK("https://vsd.vn/vi/ad/74865","Link")</f>
        <v>Link</v>
      </c>
    </row>
    <row r="1457" spans="1:6" x14ac:dyDescent="0.25">
      <c r="A1457" s="2">
        <v>44099.693159722221</v>
      </c>
      <c r="B1457" t="s">
        <v>1444</v>
      </c>
      <c r="D1457" t="s">
        <v>2466</v>
      </c>
      <c r="F1457" t="str">
        <f>HYPERLINK("https://vsd.vn/vi/ad/74849","Link")</f>
        <v>Link</v>
      </c>
    </row>
    <row r="1458" spans="1:6" x14ac:dyDescent="0.25">
      <c r="A1458" s="2">
        <v>44099.691736111112</v>
      </c>
      <c r="B1458" t="s">
        <v>1445</v>
      </c>
      <c r="C1458" t="s">
        <v>2209</v>
      </c>
      <c r="D1458" t="s">
        <v>2467</v>
      </c>
      <c r="E1458" t="s">
        <v>3153</v>
      </c>
      <c r="F1458" t="str">
        <f>HYPERLINK("https://vsd.vn/vi/ad/74845","Link")</f>
        <v>Link</v>
      </c>
    </row>
    <row r="1459" spans="1:6" x14ac:dyDescent="0.25">
      <c r="A1459" s="2">
        <v>44099.69122685185</v>
      </c>
      <c r="B1459" t="s">
        <v>1446</v>
      </c>
      <c r="C1459" t="s">
        <v>1638</v>
      </c>
      <c r="D1459" t="s">
        <v>2464</v>
      </c>
      <c r="E1459" t="s">
        <v>3154</v>
      </c>
      <c r="F1459" t="str">
        <f>HYPERLINK("https://vsd.vn/vi/ad/74863","Link")</f>
        <v>Link</v>
      </c>
    </row>
    <row r="1460" spans="1:6" x14ac:dyDescent="0.25">
      <c r="A1460" s="2">
        <v>44099.690474537027</v>
      </c>
      <c r="B1460" t="s">
        <v>1447</v>
      </c>
      <c r="C1460" t="s">
        <v>1479</v>
      </c>
      <c r="D1460" t="s">
        <v>2455</v>
      </c>
      <c r="E1460" t="s">
        <v>3155</v>
      </c>
      <c r="F1460" t="str">
        <f>HYPERLINK("https://vsd.vn/vi/ad/74862","Link")</f>
        <v>Link</v>
      </c>
    </row>
    <row r="1461" spans="1:6" x14ac:dyDescent="0.25">
      <c r="A1461" s="2">
        <v>44099.671527777777</v>
      </c>
      <c r="B1461" t="s">
        <v>1448</v>
      </c>
      <c r="F1461" t="str">
        <f>HYPERLINK("https://vsd.vn/vi/ad/74905","Link")</f>
        <v>Link</v>
      </c>
    </row>
    <row r="1462" spans="1:6" x14ac:dyDescent="0.25">
      <c r="A1462" s="2">
        <v>44099.457719907397</v>
      </c>
      <c r="B1462" t="s">
        <v>1449</v>
      </c>
      <c r="C1462" t="s">
        <v>1649</v>
      </c>
      <c r="D1462" t="s">
        <v>2461</v>
      </c>
      <c r="E1462" t="s">
        <v>3115</v>
      </c>
      <c r="F1462" t="str">
        <f>HYPERLINK("https://vsd.vn/vi/ad/74785","Link")</f>
        <v>Link</v>
      </c>
    </row>
    <row r="1463" spans="1:6" x14ac:dyDescent="0.25">
      <c r="A1463" s="2">
        <v>44098.642291666663</v>
      </c>
      <c r="B1463" t="s">
        <v>1450</v>
      </c>
      <c r="C1463" t="s">
        <v>2210</v>
      </c>
      <c r="D1463" t="s">
        <v>2461</v>
      </c>
      <c r="E1463" t="s">
        <v>3156</v>
      </c>
      <c r="F1463" t="str">
        <f>HYPERLINK("https://vsd.vn/vi/ad/74726","Link")</f>
        <v>Link</v>
      </c>
    </row>
    <row r="1464" spans="1:6" x14ac:dyDescent="0.25">
      <c r="A1464" s="2">
        <v>44098.443888888891</v>
      </c>
      <c r="B1464" t="s">
        <v>1451</v>
      </c>
      <c r="C1464" t="s">
        <v>2211</v>
      </c>
      <c r="D1464" t="s">
        <v>2465</v>
      </c>
      <c r="E1464" t="s">
        <v>3157</v>
      </c>
      <c r="F1464" t="str">
        <f>HYPERLINK("https://vsd.vn/vi/ad/74686","Link")</f>
        <v>Link</v>
      </c>
    </row>
    <row r="1465" spans="1:6" x14ac:dyDescent="0.25">
      <c r="A1465" s="2">
        <v>44098.438611111109</v>
      </c>
      <c r="B1465" t="s">
        <v>1452</v>
      </c>
      <c r="C1465" t="s">
        <v>2212</v>
      </c>
      <c r="D1465" t="s">
        <v>2464</v>
      </c>
      <c r="F1465" t="str">
        <f>HYPERLINK("https://vsd.vn/vi/ad/74685","Link")</f>
        <v>Link</v>
      </c>
    </row>
    <row r="1466" spans="1:6" x14ac:dyDescent="0.25">
      <c r="A1466" s="2">
        <v>44097.628645833327</v>
      </c>
      <c r="B1466" t="s">
        <v>1453</v>
      </c>
      <c r="C1466" t="s">
        <v>2213</v>
      </c>
      <c r="D1466" t="s">
        <v>2468</v>
      </c>
      <c r="E1466" t="s">
        <v>3158</v>
      </c>
      <c r="F1466" t="str">
        <f>HYPERLINK("https://vsd.vn/vi/ad/74605","Link")</f>
        <v>Link</v>
      </c>
    </row>
    <row r="1467" spans="1:6" x14ac:dyDescent="0.25">
      <c r="A1467" s="2">
        <v>44097.622743055559</v>
      </c>
      <c r="B1467" t="s">
        <v>1454</v>
      </c>
      <c r="C1467" t="s">
        <v>2214</v>
      </c>
      <c r="D1467" t="s">
        <v>2466</v>
      </c>
      <c r="F1467" t="str">
        <f>HYPERLINK("https://vsd.vn/vi/ad/74545","Link")</f>
        <v>Link</v>
      </c>
    </row>
    <row r="1468" spans="1:6" x14ac:dyDescent="0.25">
      <c r="A1468" s="2">
        <v>44096.655358796299</v>
      </c>
      <c r="B1468" t="s">
        <v>1455</v>
      </c>
      <c r="C1468" t="s">
        <v>2215</v>
      </c>
      <c r="D1468" t="s">
        <v>2464</v>
      </c>
      <c r="E1468" t="s">
        <v>3159</v>
      </c>
      <c r="F1468" t="str">
        <f>HYPERLINK("https://vsd.vn/vi/ad/74507","Link")</f>
        <v>Link</v>
      </c>
    </row>
    <row r="1469" spans="1:6" x14ac:dyDescent="0.25">
      <c r="A1469" s="2">
        <v>44096.655057870368</v>
      </c>
      <c r="B1469" t="s">
        <v>1456</v>
      </c>
      <c r="C1469" t="s">
        <v>2216</v>
      </c>
      <c r="D1469" t="s">
        <v>2468</v>
      </c>
      <c r="E1469" t="s">
        <v>3158</v>
      </c>
      <c r="F1469" t="str">
        <f>HYPERLINK("https://vsd.vn/vi/ad/74506","Link")</f>
        <v>Link</v>
      </c>
    </row>
    <row r="1470" spans="1:6" x14ac:dyDescent="0.25">
      <c r="A1470" s="2">
        <v>44096.653865740736</v>
      </c>
      <c r="B1470" t="s">
        <v>1457</v>
      </c>
      <c r="C1470" t="s">
        <v>2217</v>
      </c>
      <c r="D1470" t="s">
        <v>2465</v>
      </c>
      <c r="E1470" t="s">
        <v>3160</v>
      </c>
      <c r="F1470" t="str">
        <f>HYPERLINK("https://vsd.vn/vi/ad/74515","Link")</f>
        <v>Link</v>
      </c>
    </row>
    <row r="1471" spans="1:6" x14ac:dyDescent="0.25">
      <c r="A1471" s="2">
        <v>44096.465219907397</v>
      </c>
      <c r="B1471" t="s">
        <v>1458</v>
      </c>
      <c r="C1471" t="s">
        <v>1494</v>
      </c>
      <c r="D1471" t="s">
        <v>2448</v>
      </c>
      <c r="E1471" t="s">
        <v>3139</v>
      </c>
      <c r="F1471" t="str">
        <f>HYPERLINK("https://vsd.vn/vi/ad/74489","Link")</f>
        <v>Link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Hiep Dang Vo</cp:lastModifiedBy>
  <dcterms:created xsi:type="dcterms:W3CDTF">2021-09-23T01:27:28Z</dcterms:created>
  <dcterms:modified xsi:type="dcterms:W3CDTF">2021-09-23T01:28:47Z</dcterms:modified>
</cp:coreProperties>
</file>